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papa.aornmoscati.local\Area_Gare_Comunitarie\Provveditorato\GARE\laboratorio\RETTIFICA\"/>
    </mc:Choice>
  </mc:AlternateContent>
  <xr:revisionPtr revIDLastSave="0" documentId="8_{6BF9119E-A64A-4660-BECA-441FF101D6BC}" xr6:coauthVersionLast="36" xr6:coauthVersionMax="36" xr10:uidLastSave="{00000000-0000-0000-0000-000000000000}"/>
  <workbookProtection lockStructure="1"/>
  <bookViews>
    <workbookView xWindow="0" yWindow="0" windowWidth="28800" windowHeight="11625" xr2:uid="{00000000-000D-0000-FFFF-FFFF00000000}"/>
  </bookViews>
  <sheets>
    <sheet name="Cauzioni e Contributo" sheetId="2" r:id="rId1"/>
    <sheet name="Foglio1" sheetId="3" state="hidden" r:id="rId2"/>
  </sheets>
  <definedNames>
    <definedName name="_xlnm.Print_Area" localSheetId="0">'Cauzioni e Contributo'!$A$1:$J$71</definedName>
  </definedNames>
  <calcPr calcId="191029"/>
</workbook>
</file>

<file path=xl/calcChain.xml><?xml version="1.0" encoding="utf-8"?>
<calcChain xmlns="http://schemas.openxmlformats.org/spreadsheetml/2006/main">
  <c r="G51" i="2" l="1"/>
  <c r="G52" i="2"/>
  <c r="G53" i="2"/>
  <c r="G54" i="2"/>
  <c r="G55" i="2"/>
  <c r="G56" i="2"/>
  <c r="G57" i="2"/>
  <c r="G58" i="2"/>
  <c r="G59" i="2"/>
  <c r="H51" i="2"/>
  <c r="H52" i="2"/>
  <c r="H53" i="2"/>
  <c r="H54" i="2"/>
  <c r="H55" i="2"/>
  <c r="H56" i="2"/>
  <c r="H57" i="2"/>
  <c r="H58" i="2"/>
  <c r="H59" i="2"/>
  <c r="I51" i="2"/>
  <c r="I52" i="2"/>
  <c r="I53" i="2"/>
  <c r="I54" i="2"/>
  <c r="I55" i="2"/>
  <c r="I56" i="2"/>
  <c r="I57" i="2"/>
  <c r="I58" i="2"/>
  <c r="I59" i="2"/>
  <c r="G40" i="2"/>
  <c r="G41" i="2"/>
  <c r="G42" i="2"/>
  <c r="G43" i="2"/>
  <c r="G44" i="2"/>
  <c r="G45" i="2"/>
  <c r="G46" i="2"/>
  <c r="G47" i="2"/>
  <c r="G48" i="2"/>
  <c r="G49" i="2"/>
  <c r="H40" i="2"/>
  <c r="H41" i="2"/>
  <c r="H42" i="2"/>
  <c r="H43" i="2"/>
  <c r="H44" i="2"/>
  <c r="H45" i="2"/>
  <c r="H46" i="2"/>
  <c r="H47" i="2"/>
  <c r="H48" i="2"/>
  <c r="H49" i="2"/>
  <c r="I40" i="2"/>
  <c r="I41" i="2"/>
  <c r="I42" i="2"/>
  <c r="I43" i="2"/>
  <c r="I44" i="2"/>
  <c r="I45" i="2"/>
  <c r="I46" i="2"/>
  <c r="I47" i="2"/>
  <c r="I48" i="2"/>
  <c r="I49" i="2"/>
  <c r="G14" i="2" l="1"/>
  <c r="H14" i="2"/>
  <c r="I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50" i="2"/>
  <c r="G60" i="2"/>
  <c r="G61" i="2"/>
  <c r="G62" i="2"/>
  <c r="G63" i="2"/>
  <c r="G64" i="2"/>
  <c r="G65" i="2"/>
  <c r="G66" i="2"/>
  <c r="G67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50" i="2"/>
  <c r="H60" i="2"/>
  <c r="H61" i="2"/>
  <c r="H62" i="2"/>
  <c r="H63" i="2"/>
  <c r="H64" i="2"/>
  <c r="H65" i="2"/>
  <c r="H66" i="2"/>
  <c r="H67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50" i="2"/>
  <c r="I60" i="2"/>
  <c r="I61" i="2"/>
  <c r="I62" i="2"/>
  <c r="I63" i="2"/>
  <c r="I64" i="2"/>
  <c r="I65" i="2"/>
  <c r="I66" i="2"/>
  <c r="I67" i="2"/>
  <c r="E6" i="2" l="1"/>
  <c r="E8" i="2" s="1"/>
  <c r="F71" i="2" l="1"/>
  <c r="G71" i="2" l="1"/>
  <c r="J6" i="2" l="1"/>
  <c r="J8" i="2" s="1"/>
  <c r="I6" i="2"/>
  <c r="I8" i="2" s="1"/>
  <c r="I9" i="2" s="1"/>
  <c r="H6" i="2"/>
  <c r="H8" i="2" s="1"/>
  <c r="H9" i="2" s="1"/>
  <c r="G6" i="2"/>
  <c r="G8" i="2" s="1"/>
  <c r="F6" i="2"/>
  <c r="F8" i="2" s="1"/>
  <c r="D6" i="2"/>
  <c r="D8" i="2" s="1"/>
  <c r="K1" i="2" l="1"/>
  <c r="L2" i="2" s="1"/>
  <c r="E9" i="2"/>
  <c r="J9" i="2"/>
  <c r="G9" i="2"/>
  <c r="K2" i="2" l="1"/>
  <c r="I11" i="2" l="1"/>
  <c r="I71" i="2"/>
  <c r="H71" i="2" l="1"/>
</calcChain>
</file>

<file path=xl/sharedStrings.xml><?xml version="1.0" encoding="utf-8"?>
<sst xmlns="http://schemas.openxmlformats.org/spreadsheetml/2006/main" count="80" uniqueCount="70">
  <si>
    <t>CIG</t>
  </si>
  <si>
    <t>Importo posto a base di gara</t>
  </si>
  <si>
    <t>Quota stazioni appaltanti</t>
  </si>
  <si>
    <t>Quota operatori economici</t>
  </si>
  <si>
    <t>Inferiore a € 40.000</t>
  </si>
  <si>
    <t>Uguale o maggiore a € 40.000 e inferiore a € 150.000</t>
  </si>
  <si>
    <t>Uguale o maggiore a € 150.000 e inferiore a € 300.000</t>
  </si>
  <si>
    <t>Uguale o maggiore a € 300.000 e inferiore a € 500.000</t>
  </si>
  <si>
    <t>Uguale o maggiore a € 500.000 e inferiore a € 800.000</t>
  </si>
  <si>
    <t>Uguale o maggiore a € 800.000 e inferiore a € 1.000.000</t>
  </si>
  <si>
    <t>Uguale o maggiore a € 1.000.000,00 e inferiore a</t>
  </si>
  <si>
    <t>Uguale o maggiore a € 5.000.000 e inferiore a</t>
  </si>
  <si>
    <t>Uguale o maggiore a € 20.000.000</t>
  </si>
  <si>
    <t>Lotto</t>
  </si>
  <si>
    <t>Importo Contributo CIG per O.E.</t>
  </si>
  <si>
    <t>Totale</t>
  </si>
  <si>
    <t>UNI CEI ISO9000</t>
  </si>
  <si>
    <t>Ecolabel
UE</t>
  </si>
  <si>
    <t>UNI EN ISO 14064-1 oppure
UNI ISO/TS 14067</t>
  </si>
  <si>
    <t>Certificazioni possedute dal partecipante</t>
  </si>
  <si>
    <t>c</t>
  </si>
  <si>
    <t>a</t>
  </si>
  <si>
    <t>nc</t>
  </si>
  <si>
    <t>Registrazione EMAS</t>
  </si>
  <si>
    <t>Certificazione Ambientale UNI
ENISO14001</t>
  </si>
  <si>
    <t>INDICARE CON UN 'SI' I LOTTI PER I QUALI SI CONCORRE</t>
  </si>
  <si>
    <t>==&gt;</t>
  </si>
  <si>
    <t>INDICARE CON UN 'SI' IL POSSESSO DELLE CERTIFICAZIONE ABILITANTI LA RIDUZIONE DELLA GARANZIA PROVVISORIA, AI SENSI DEL CO. 7, ART. 93, D.LGS. 50/2016.</t>
  </si>
  <si>
    <t>Garanzia ridotta</t>
  </si>
  <si>
    <t>PMI</t>
  </si>
  <si>
    <t>rating di legalità e rating di impresa o altre certificazioni cui art. 93, co. 7, ultimo periodo</t>
  </si>
  <si>
    <t>Garanzia Provvisoria Base (2% base d'asta)</t>
  </si>
  <si>
    <t>IMPORTO complessivo presunto</t>
  </si>
  <si>
    <r>
      <rPr>
        <sz val="10"/>
        <rFont val="Garamond"/>
        <family val="1"/>
      </rPr>
      <t>PERCENTUALE GARANZIA PROVVISORIA BASE APPLICABILE AL NETTO DELLE RIDUZIONI DI CUI AL CO. 7, ART. 93, D.LGS. 50/201</t>
    </r>
    <r>
      <rPr>
        <sz val="9"/>
        <rFont val="Garamond"/>
        <family val="1"/>
      </rPr>
      <t>6</t>
    </r>
  </si>
  <si>
    <t>9341727CFB</t>
  </si>
  <si>
    <t>934182912B</t>
  </si>
  <si>
    <t>934185027F</t>
  </si>
  <si>
    <t>93418892AE</t>
  </si>
  <si>
    <t>9341902D65</t>
  </si>
  <si>
    <t>93419168F4</t>
  </si>
  <si>
    <t>93420149D3</t>
  </si>
  <si>
    <t>9342079F75</t>
  </si>
  <si>
    <t>934209195E</t>
  </si>
  <si>
    <t>93421623F7</t>
  </si>
  <si>
    <t>9342234F5E</t>
  </si>
  <si>
    <t>93422848A3</t>
  </si>
  <si>
    <t>9342307B9D</t>
  </si>
  <si>
    <t>93424143EC</t>
  </si>
  <si>
    <t>9343647D6A</t>
  </si>
  <si>
    <t>93436575AD</t>
  </si>
  <si>
    <t>9343682A4D</t>
  </si>
  <si>
    <t>9343722B4F</t>
  </si>
  <si>
    <t>9343747FEF</t>
  </si>
  <si>
    <t>93437599D8</t>
  </si>
  <si>
    <t>9343783DA5</t>
  </si>
  <si>
    <t>934381580F</t>
  </si>
  <si>
    <t>9343837A36</t>
  </si>
  <si>
    <t>93438450D3</t>
  </si>
  <si>
    <t>93438504F2</t>
  </si>
  <si>
    <t>9343878C0B</t>
  </si>
  <si>
    <t>93438916C7</t>
  </si>
  <si>
    <t>9343898C8C</t>
  </si>
  <si>
    <t>93439073FC</t>
  </si>
  <si>
    <t>9343918D0D</t>
  </si>
  <si>
    <t>934396757F</t>
  </si>
  <si>
    <t>934398110E</t>
  </si>
  <si>
    <t>9344016DEC</t>
  </si>
  <si>
    <t>93441257E1</t>
  </si>
  <si>
    <t>9344133E79</t>
  </si>
  <si>
    <t>9344150C81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</si>
</sst>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.00000"/>
    <numFmt numFmtId="168" formatCode="0.00000"/>
    <numFmt numFmtId="169" formatCode="_-[$€-410]\ * #,##0.00_-;\-[$€-410]\ * #,##0.00_-;_-[$€-410]\ * &quot;-&quot;??_-;_-@_-"/>
    <numFmt numFmtId="170" formatCode="0.000"/>
    <numFmt numFmtId="171" formatCode="_-[$€-410]\ * #,##0.00000_-;\-[$€-410]\ * #,##0.00000_-;_-[$€-410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Garamond"/>
      <family val="1"/>
    </font>
    <font>
      <b/>
      <sz val="14"/>
      <color theme="0"/>
      <name val="Garamond"/>
      <family val="1"/>
    </font>
    <font>
      <sz val="9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sz val="14"/>
      <color rgb="FFC0000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darkGray">
        <fgColor theme="3"/>
        <bgColor theme="4"/>
      </patternFill>
    </fill>
    <fill>
      <patternFill patternType="solid">
        <fgColor theme="4" tint="0.79998168889431442"/>
        <bgColor theme="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48" applyFont="1" applyAlignment="1">
      <alignment vertical="center" wrapText="1"/>
    </xf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wrapText="1"/>
    </xf>
    <xf numFmtId="170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8" fontId="8" fillId="0" borderId="1" xfId="0" applyNumberFormat="1" applyFont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9" fontId="5" fillId="0" borderId="0" xfId="49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8" xfId="0" quotePrefix="1" applyFont="1" applyBorder="1" applyAlignment="1">
      <alignment horizontal="center" vertical="center" wrapText="1"/>
    </xf>
    <xf numFmtId="10" fontId="10" fillId="0" borderId="9" xfId="49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167" fontId="8" fillId="0" borderId="8" xfId="0" applyNumberFormat="1" applyFont="1" applyFill="1" applyBorder="1" applyAlignment="1" applyProtection="1">
      <alignment horizontal="center" vertical="center" wrapText="1"/>
    </xf>
    <xf numFmtId="168" fontId="8" fillId="0" borderId="8" xfId="0" applyNumberFormat="1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48" applyFont="1" applyFill="1" applyBorder="1" applyAlignment="1">
      <alignment vertical="center" wrapText="1"/>
    </xf>
    <xf numFmtId="165" fontId="5" fillId="0" borderId="0" xfId="48" applyFont="1" applyAlignment="1">
      <alignment wrapText="1"/>
    </xf>
    <xf numFmtId="165" fontId="5" fillId="0" borderId="0" xfId="0" applyNumberFormat="1" applyFont="1" applyAlignment="1">
      <alignment wrapText="1"/>
    </xf>
    <xf numFmtId="169" fontId="5" fillId="0" borderId="13" xfId="0" applyNumberFormat="1" applyFont="1" applyFill="1" applyBorder="1" applyAlignment="1" applyProtection="1">
      <alignment horizontal="left" vertical="center" wrapText="1"/>
    </xf>
    <xf numFmtId="171" fontId="9" fillId="0" borderId="0" xfId="0" applyNumberFormat="1" applyFont="1" applyFill="1" applyBorder="1" applyAlignment="1" applyProtection="1">
      <alignment horizontal="center" vertical="center" wrapText="1"/>
    </xf>
    <xf numFmtId="10" fontId="10" fillId="0" borderId="0" xfId="49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169" fontId="5" fillId="0" borderId="0" xfId="0" applyNumberFormat="1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 wrapText="1"/>
      <protection locked="0"/>
    </xf>
    <xf numFmtId="0" fontId="9" fillId="2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9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165" fontId="5" fillId="0" borderId="0" xfId="48" applyFont="1" applyFill="1" applyBorder="1" applyAlignment="1" applyProtection="1">
      <alignment horizontal="center" vertical="center" wrapText="1"/>
    </xf>
    <xf numFmtId="49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171" fontId="5" fillId="0" borderId="5" xfId="0" applyNumberFormat="1" applyFont="1" applyFill="1" applyBorder="1" applyAlignment="1" applyProtection="1">
      <alignment horizontal="center" vertical="center" wrapText="1"/>
    </xf>
    <xf numFmtId="169" fontId="11" fillId="0" borderId="5" xfId="0" applyNumberFormat="1" applyFont="1" applyFill="1" applyBorder="1" applyAlignment="1" applyProtection="1">
      <alignment horizontal="center" vertical="center" wrapText="1"/>
    </xf>
    <xf numFmtId="169" fontId="11" fillId="0" borderId="6" xfId="0" applyNumberFormat="1" applyFont="1" applyFill="1" applyBorder="1" applyAlignment="1" applyProtection="1">
      <alignment horizontal="center" vertical="center" wrapText="1"/>
    </xf>
    <xf numFmtId="49" fontId="13" fillId="0" borderId="18" xfId="0" applyNumberFormat="1" applyFont="1" applyFill="1" applyBorder="1" applyAlignment="1" applyProtection="1">
      <alignment horizontal="center" vertical="center"/>
    </xf>
    <xf numFmtId="49" fontId="14" fillId="0" borderId="18" xfId="0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9" fillId="0" borderId="11" xfId="0" quotePrefix="1" applyFont="1" applyBorder="1" applyAlignment="1">
      <alignment horizontal="center" textRotation="180" wrapText="1"/>
    </xf>
    <xf numFmtId="0" fontId="9" fillId="0" borderId="12" xfId="0" quotePrefix="1" applyFont="1" applyBorder="1" applyAlignment="1">
      <alignment horizontal="center" textRotation="180" wrapText="1"/>
    </xf>
  </cellXfs>
  <cellStyles count="50">
    <cellStyle name="Migliaia" xfId="1" builtinId="3"/>
    <cellStyle name="Normale" xfId="0" builtinId="0"/>
    <cellStyle name="Normale 10" xfId="2" xr:uid="{00000000-0005-0000-0000-000002000000}"/>
    <cellStyle name="Normale 11" xfId="12" xr:uid="{00000000-0005-0000-0000-000003000000}"/>
    <cellStyle name="Normale 12" xfId="13" xr:uid="{00000000-0005-0000-0000-000004000000}"/>
    <cellStyle name="Normale 13" xfId="14" xr:uid="{00000000-0005-0000-0000-000005000000}"/>
    <cellStyle name="Normale 14" xfId="15" xr:uid="{00000000-0005-0000-0000-000006000000}"/>
    <cellStyle name="Normale 15" xfId="6" xr:uid="{00000000-0005-0000-0000-000007000000}"/>
    <cellStyle name="Normale 16" xfId="9" xr:uid="{00000000-0005-0000-0000-000008000000}"/>
    <cellStyle name="Normale 17" xfId="16" xr:uid="{00000000-0005-0000-0000-000009000000}"/>
    <cellStyle name="Normale 18" xfId="17" xr:uid="{00000000-0005-0000-0000-00000A000000}"/>
    <cellStyle name="Normale 2" xfId="3" xr:uid="{00000000-0005-0000-0000-00000B000000}"/>
    <cellStyle name="Normale 2 2" xfId="47" xr:uid="{00000000-0005-0000-0000-00000C000000}"/>
    <cellStyle name="Normale 20" xfId="18" xr:uid="{00000000-0005-0000-0000-00000D000000}"/>
    <cellStyle name="Normale 21" xfId="5" xr:uid="{00000000-0005-0000-0000-00000E000000}"/>
    <cellStyle name="Normale 22" xfId="19" xr:uid="{00000000-0005-0000-0000-00000F000000}"/>
    <cellStyle name="Normale 25" xfId="20" xr:uid="{00000000-0005-0000-0000-000010000000}"/>
    <cellStyle name="Normale 26" xfId="21" xr:uid="{00000000-0005-0000-0000-000011000000}"/>
    <cellStyle name="Normale 27" xfId="22" xr:uid="{00000000-0005-0000-0000-000012000000}"/>
    <cellStyle name="Normale 28" xfId="23" xr:uid="{00000000-0005-0000-0000-000013000000}"/>
    <cellStyle name="Normale 29" xfId="24" xr:uid="{00000000-0005-0000-0000-000014000000}"/>
    <cellStyle name="Normale 3" xfId="4" xr:uid="{00000000-0005-0000-0000-000015000000}"/>
    <cellStyle name="Normale 30" xfId="25" xr:uid="{00000000-0005-0000-0000-000016000000}"/>
    <cellStyle name="Normale 31" xfId="26" xr:uid="{00000000-0005-0000-0000-000017000000}"/>
    <cellStyle name="Normale 32" xfId="27" xr:uid="{00000000-0005-0000-0000-000018000000}"/>
    <cellStyle name="Normale 33" xfId="28" xr:uid="{00000000-0005-0000-0000-000019000000}"/>
    <cellStyle name="Normale 34" xfId="29" xr:uid="{00000000-0005-0000-0000-00001A000000}"/>
    <cellStyle name="Normale 35" xfId="30" xr:uid="{00000000-0005-0000-0000-00001B000000}"/>
    <cellStyle name="Normale 36" xfId="31" xr:uid="{00000000-0005-0000-0000-00001C000000}"/>
    <cellStyle name="Normale 37" xfId="32" xr:uid="{00000000-0005-0000-0000-00001D000000}"/>
    <cellStyle name="Normale 38" xfId="33" xr:uid="{00000000-0005-0000-0000-00001E000000}"/>
    <cellStyle name="Normale 39" xfId="34" xr:uid="{00000000-0005-0000-0000-00001F000000}"/>
    <cellStyle name="Normale 40" xfId="35" xr:uid="{00000000-0005-0000-0000-000020000000}"/>
    <cellStyle name="Normale 41" xfId="36" xr:uid="{00000000-0005-0000-0000-000021000000}"/>
    <cellStyle name="Normale 42" xfId="37" xr:uid="{00000000-0005-0000-0000-000022000000}"/>
    <cellStyle name="Normale 44" xfId="38" xr:uid="{00000000-0005-0000-0000-000023000000}"/>
    <cellStyle name="Normale 45" xfId="39" xr:uid="{00000000-0005-0000-0000-000024000000}"/>
    <cellStyle name="Normale 46" xfId="40" xr:uid="{00000000-0005-0000-0000-000025000000}"/>
    <cellStyle name="Normale 47" xfId="41" xr:uid="{00000000-0005-0000-0000-000026000000}"/>
    <cellStyle name="Normale 48" xfId="42" xr:uid="{00000000-0005-0000-0000-000027000000}"/>
    <cellStyle name="Normale 49" xfId="43" xr:uid="{00000000-0005-0000-0000-000028000000}"/>
    <cellStyle name="Normale 5" xfId="7" xr:uid="{00000000-0005-0000-0000-000029000000}"/>
    <cellStyle name="Normale 51" xfId="45" xr:uid="{00000000-0005-0000-0000-00002A000000}"/>
    <cellStyle name="Normale 52" xfId="46" xr:uid="{00000000-0005-0000-0000-00002B000000}"/>
    <cellStyle name="Normale 54" xfId="44" xr:uid="{00000000-0005-0000-0000-00002C000000}"/>
    <cellStyle name="Normale 7" xfId="8" xr:uid="{00000000-0005-0000-0000-00002D000000}"/>
    <cellStyle name="Normale 8" xfId="10" xr:uid="{00000000-0005-0000-0000-00002E000000}"/>
    <cellStyle name="Normale 9" xfId="11" xr:uid="{00000000-0005-0000-0000-00002F000000}"/>
    <cellStyle name="Percentuale" xfId="49" builtinId="5"/>
    <cellStyle name="Valuta" xfId="48" builtin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9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9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9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71" formatCode="_-[$€-410]\ * #,##0.00000_-;\-[$€-410]\ * #,##0.00000_-;_-[$€-410]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numFmt numFmtId="169" formatCode="_-[$€-410]\ * #,##0.00_-;\-[$€-410]\ * #,##0.00_-;_-[$€-410]\ * &quot;-&quot;??_-;_-@_-"/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scheme val="none"/>
      </font>
      <numFmt numFmtId="169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</font>
      <numFmt numFmtId="171" formatCode="_-[$€-410]\ * #,##0.00000_-;\-[$€-410]\ * #,##0.00000_-;_-[$€-410]\ * &quot;-&quot;??_-;_-@_-"/>
    </dxf>
    <dxf>
      <font>
        <b/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color rgb="FF000000"/>
        <name val="Verdana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name val="Garamond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D13:I71" totalsRowCount="1" headerRowDxfId="15" dataDxfId="13" totalsRowDxfId="11" headerRowBorderDxfId="14" tableBorderDxfId="12">
  <tableColumns count="6">
    <tableColumn id="1" xr3:uid="{00000000-0010-0000-0000-000001000000}" name="CIG" totalsRowLabel="Totale" dataDxfId="10" totalsRowDxfId="5"/>
    <tableColumn id="2" xr3:uid="{00000000-0010-0000-0000-000002000000}" name="Lotto" dataDxfId="9" totalsRowDxfId="4"/>
    <tableColumn id="4" xr3:uid="{00000000-0010-0000-0000-000004000000}" name="IMPORTO complessivo presunto" totalsRowFunction="sum" dataDxfId="8" totalsRowDxfId="3"/>
    <tableColumn id="5" xr3:uid="{00000000-0010-0000-0000-000005000000}" name="Garanzia Provvisoria Base (2% base d'asta)" totalsRowFunction="custom" totalsRowDxfId="2" dataCellStyle="Valuta">
      <calculatedColumnFormula>(Tabella1[[#This Row],[IMPORTO complessivo presunto]])*2%</calculatedColumnFormula>
      <totalsRowFormula>SUMIF(B14:C70,"SI",Tabella1[Garanzia Provvisoria Base (2% base d''asta)])</totalsRowFormula>
    </tableColumn>
    <tableColumn id="3" xr3:uid="{00000000-0010-0000-0000-000003000000}" name="Garanzia ridotta" totalsRowFunction="custom" dataDxfId="7" totalsRowDxfId="1" dataCellStyle="Migliaia">
      <calculatedColumnFormula>IF($I$11&lt;1,Tabella1[[#This Row],[Garanzia Provvisoria Base (2% base d''asta)]]*$I$11,"")</calculatedColumnFormula>
      <totalsRowFormula>SUMIF(B14:C70,"SI",Tabella1[Garanzia ridotta])</totalsRowFormula>
    </tableColumn>
    <tableColumn id="7" xr3:uid="{00000000-0010-0000-0000-000007000000}" name="Importo Contributo CIG per O.E." totalsRowFunction="custom" dataDxfId="6" totalsRowDxfId="0">
      <calculatedColumnFormula>IF(AND(Tabella1[[#This Row],[IMPORTO complessivo presunto]]&lt;&gt;"",Tabella1[[#This Row],[IMPORTO complessivo presunto]]&gt;0),LOOKUP(Tabella1[[#This Row],[IMPORTO complessivo presunto]],Foglio1!$C$4:$D$13),0)</calculatedColumnFormula>
      <totalsRowFormula>SUMIF(B14:C70,"SI",Tabella1[Importo Contributo CIG per O.E.])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L78"/>
  <sheetViews>
    <sheetView showGridLines="0" tabSelected="1" showWhiteSpace="0" topLeftCell="A40" zoomScale="85" zoomScaleNormal="85" zoomScaleSheetLayoutView="70" zoomScalePageLayoutView="70" workbookViewId="0">
      <selection activeCell="F46" sqref="F46"/>
    </sheetView>
  </sheetViews>
  <sheetFormatPr defaultColWidth="9.140625" defaultRowHeight="15" x14ac:dyDescent="0.25"/>
  <cols>
    <col min="1" max="1" width="0.85546875" style="8" customWidth="1"/>
    <col min="2" max="2" width="16" style="8" customWidth="1"/>
    <col min="3" max="3" width="4.5703125" style="8" customWidth="1"/>
    <col min="4" max="4" width="19" style="8" customWidth="1"/>
    <col min="5" max="5" width="11.140625" style="8" customWidth="1"/>
    <col min="6" max="6" width="25.85546875" style="8" customWidth="1"/>
    <col min="7" max="7" width="20.5703125" style="8" customWidth="1"/>
    <col min="8" max="8" width="15.85546875" style="8" customWidth="1"/>
    <col min="9" max="9" width="18" style="8" customWidth="1"/>
    <col min="10" max="10" width="18.28515625" style="8" customWidth="1"/>
    <col min="11" max="11" width="11.7109375" style="8" customWidth="1"/>
    <col min="12" max="12" width="5.85546875" style="8" customWidth="1"/>
    <col min="13" max="17" width="26.85546875" style="8" customWidth="1"/>
    <col min="18" max="18" width="19.5703125" style="8" customWidth="1"/>
    <col min="19" max="20" width="23.42578125" style="8" customWidth="1"/>
    <col min="21" max="21" width="23.5703125" style="8" customWidth="1"/>
    <col min="22" max="22" width="3.140625" style="8" customWidth="1"/>
    <col min="23" max="16384" width="9.140625" style="8"/>
  </cols>
  <sheetData>
    <row r="1" spans="2:12" s="5" customFormat="1" ht="15.75" hidden="1" thickBot="1" x14ac:dyDescent="0.3">
      <c r="D1" s="5" t="s">
        <v>21</v>
      </c>
      <c r="E1" s="5" t="s">
        <v>21</v>
      </c>
      <c r="F1" s="5" t="s">
        <v>21</v>
      </c>
      <c r="G1" s="5" t="s">
        <v>21</v>
      </c>
      <c r="K1" s="6">
        <f>MAX((D8+MAX(F8:G8)+H8),I8)</f>
        <v>0</v>
      </c>
    </row>
    <row r="2" spans="2:12" s="5" customFormat="1" ht="15.75" hidden="1" thickBot="1" x14ac:dyDescent="0.3">
      <c r="D2" s="5" t="s">
        <v>20</v>
      </c>
      <c r="E2" s="5" t="s">
        <v>20</v>
      </c>
      <c r="F2" s="5" t="s">
        <v>20</v>
      </c>
      <c r="G2" s="5" t="s">
        <v>20</v>
      </c>
      <c r="H2" s="5" t="s">
        <v>20</v>
      </c>
      <c r="I2" s="5" t="s">
        <v>20</v>
      </c>
      <c r="J2" s="5" t="s">
        <v>22</v>
      </c>
      <c r="K2" s="7">
        <f>PRODUCT(D9:J9)</f>
        <v>1</v>
      </c>
      <c r="L2" s="7">
        <f>IF(K1&gt;0,K1,J8)</f>
        <v>0</v>
      </c>
    </row>
    <row r="3" spans="2:12" s="5" customFormat="1" ht="54.6" customHeight="1" thickBot="1" x14ac:dyDescent="0.3">
      <c r="D3" s="51" t="s">
        <v>19</v>
      </c>
      <c r="E3" s="52"/>
      <c r="F3" s="52"/>
      <c r="G3" s="52"/>
      <c r="H3" s="52"/>
      <c r="I3" s="52"/>
      <c r="J3" s="53"/>
    </row>
    <row r="4" spans="2:12" ht="95.25" thickBot="1" x14ac:dyDescent="0.3">
      <c r="B4" s="56" t="s">
        <v>27</v>
      </c>
      <c r="D4" s="9" t="s">
        <v>16</v>
      </c>
      <c r="E4" s="10" t="s">
        <v>29</v>
      </c>
      <c r="F4" s="10" t="s">
        <v>23</v>
      </c>
      <c r="G4" s="10" t="s">
        <v>24</v>
      </c>
      <c r="H4" s="10" t="s">
        <v>17</v>
      </c>
      <c r="I4" s="10" t="s">
        <v>18</v>
      </c>
      <c r="J4" s="11" t="s">
        <v>30</v>
      </c>
    </row>
    <row r="5" spans="2:12" s="5" customFormat="1" ht="37.15" customHeight="1" thickBot="1" x14ac:dyDescent="0.3">
      <c r="B5" s="57"/>
      <c r="C5" s="12" t="s">
        <v>26</v>
      </c>
      <c r="D5" s="33"/>
      <c r="E5" s="34"/>
      <c r="F5" s="34"/>
      <c r="G5" s="34"/>
      <c r="H5" s="34"/>
      <c r="I5" s="34"/>
      <c r="J5" s="35"/>
    </row>
    <row r="6" spans="2:12" s="5" customFormat="1" hidden="1" x14ac:dyDescent="0.25">
      <c r="D6" s="5">
        <f t="shared" ref="D6:J6" si="0">IF(D5="si",1,0)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</row>
    <row r="7" spans="2:12" s="5" customFormat="1" hidden="1" x14ac:dyDescent="0.25">
      <c r="D7" s="13">
        <v>0.5</v>
      </c>
      <c r="E7" s="13">
        <v>0.5</v>
      </c>
      <c r="F7" s="13">
        <v>0.3</v>
      </c>
      <c r="G7" s="13">
        <v>0.2</v>
      </c>
      <c r="H7" s="13">
        <v>0.2</v>
      </c>
      <c r="I7" s="13">
        <v>0.15</v>
      </c>
      <c r="J7" s="13">
        <v>0.3</v>
      </c>
    </row>
    <row r="8" spans="2:12" s="5" customFormat="1" hidden="1" x14ac:dyDescent="0.25">
      <c r="D8" s="5">
        <f>D6*D7</f>
        <v>0</v>
      </c>
      <c r="E8" s="5">
        <f>E6*E7</f>
        <v>0</v>
      </c>
      <c r="F8" s="5">
        <f t="shared" ref="F8:J8" si="1">F6*F7</f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</row>
    <row r="9" spans="2:12" s="5" customFormat="1" hidden="1" x14ac:dyDescent="0.25">
      <c r="E9" s="5">
        <f>1-MAX(D8:E8)</f>
        <v>1</v>
      </c>
      <c r="G9" s="5">
        <f>1-MAX(F8:G8)</f>
        <v>1</v>
      </c>
      <c r="H9" s="5">
        <f>1-H8</f>
        <v>1</v>
      </c>
      <c r="I9" s="5">
        <f>1-I8</f>
        <v>1</v>
      </c>
      <c r="J9" s="5">
        <f>IF(SUM(D8:I8)=0,1-J8,1)</f>
        <v>1</v>
      </c>
    </row>
    <row r="10" spans="2:12" s="5" customFormat="1" ht="15.75" thickBot="1" x14ac:dyDescent="0.3">
      <c r="K10" s="7"/>
    </row>
    <row r="11" spans="2:12" s="5" customFormat="1" ht="52.5" customHeight="1" thickBot="1" x14ac:dyDescent="0.3">
      <c r="C11" s="14"/>
      <c r="E11" s="54" t="s">
        <v>33</v>
      </c>
      <c r="F11" s="55"/>
      <c r="G11" s="55"/>
      <c r="H11" s="15" t="s">
        <v>26</v>
      </c>
      <c r="I11" s="16">
        <f>K2</f>
        <v>1</v>
      </c>
      <c r="J11" s="30"/>
      <c r="K11" s="7"/>
    </row>
    <row r="12" spans="2:12" s="5" customFormat="1" ht="43.5" customHeight="1" thickBot="1" x14ac:dyDescent="0.3">
      <c r="B12" s="58" t="s">
        <v>25</v>
      </c>
      <c r="C12" s="59"/>
    </row>
    <row r="13" spans="2:12" s="17" customFormat="1" ht="68.25" customHeight="1" thickBot="1" x14ac:dyDescent="0.3">
      <c r="B13" s="60" t="s">
        <v>26</v>
      </c>
      <c r="C13" s="61"/>
      <c r="D13" s="18" t="s">
        <v>0</v>
      </c>
      <c r="E13" s="19" t="s">
        <v>13</v>
      </c>
      <c r="F13" s="20" t="s">
        <v>32</v>
      </c>
      <c r="G13" s="21" t="s">
        <v>31</v>
      </c>
      <c r="H13" s="21" t="s">
        <v>28</v>
      </c>
      <c r="I13" s="22" t="s">
        <v>14</v>
      </c>
      <c r="J13" s="31"/>
      <c r="K13" s="23"/>
    </row>
    <row r="14" spans="2:12" s="24" customFormat="1" ht="18.75" x14ac:dyDescent="0.25">
      <c r="B14" s="41"/>
      <c r="C14" s="42"/>
      <c r="D14" s="50" t="s">
        <v>34</v>
      </c>
      <c r="E14" s="36">
        <v>1</v>
      </c>
      <c r="F14" s="29">
        <v>535275</v>
      </c>
      <c r="G14" s="40">
        <f>(Tabella1[[#This Row],[IMPORTO complessivo presunto]])*2%</f>
        <v>10705.5</v>
      </c>
      <c r="H14" s="37" t="str">
        <f>IF($I$11&lt;1,Tabella1[[#This Row],[Garanzia Provvisoria Base (2% base d''asta)]]*$I$11,"")</f>
        <v/>
      </c>
      <c r="I14" s="28">
        <f>IF(AND(Tabella1[[#This Row],[IMPORTO complessivo presunto]]&lt;&gt;"",Tabella1[[#This Row],[IMPORTO complessivo presunto]]&gt;0),LOOKUP(Tabella1[[#This Row],[IMPORTO complessivo presunto]],Foglio1!$C$4:$D$13),0)</f>
        <v>70</v>
      </c>
      <c r="J14" s="32"/>
      <c r="K14" s="25"/>
    </row>
    <row r="15" spans="2:12" s="24" customFormat="1" ht="18.75" x14ac:dyDescent="0.25">
      <c r="B15" s="41"/>
      <c r="C15" s="42"/>
      <c r="D15" s="50">
        <v>9341812323</v>
      </c>
      <c r="E15" s="36">
        <v>2</v>
      </c>
      <c r="F15" s="29">
        <v>230400</v>
      </c>
      <c r="G15" s="40">
        <f>(Tabella1[[#This Row],[IMPORTO complessivo presunto]])*2%</f>
        <v>4608</v>
      </c>
      <c r="H15" s="37" t="str">
        <f>IF($I$11&lt;1,Tabella1[[#This Row],[Garanzia Provvisoria Base (2% base d''asta)]]*$I$11,"")</f>
        <v/>
      </c>
      <c r="I15" s="28">
        <f>IF(AND(Tabella1[[#This Row],[IMPORTO complessivo presunto]]&lt;&gt;"",Tabella1[[#This Row],[IMPORTO complessivo presunto]]&gt;0),LOOKUP(Tabella1[[#This Row],[IMPORTO complessivo presunto]],Foglio1!$C$4:$D$13),0)</f>
        <v>20</v>
      </c>
      <c r="J15" s="32"/>
      <c r="K15" s="25"/>
    </row>
    <row r="16" spans="2:12" s="24" customFormat="1" ht="18.75" x14ac:dyDescent="0.25">
      <c r="B16" s="41"/>
      <c r="C16" s="42"/>
      <c r="D16" s="50" t="s">
        <v>35</v>
      </c>
      <c r="E16" s="36">
        <v>3</v>
      </c>
      <c r="F16" s="29">
        <v>1560226.65</v>
      </c>
      <c r="G16" s="40">
        <f>(Tabella1[[#This Row],[IMPORTO complessivo presunto]])*2%</f>
        <v>31204.532999999999</v>
      </c>
      <c r="H16" s="37" t="str">
        <f>IF($I$11&lt;1,Tabella1[[#This Row],[Garanzia Provvisoria Base (2% base d''asta)]]*$I$11,"")</f>
        <v/>
      </c>
      <c r="I16" s="28">
        <f>IF(AND(Tabella1[[#This Row],[IMPORTO complessivo presunto]]&lt;&gt;"",Tabella1[[#This Row],[IMPORTO complessivo presunto]]&gt;0),LOOKUP(Tabella1[[#This Row],[IMPORTO complessivo presunto]],Foglio1!$C$4:$D$13),0)</f>
        <v>140</v>
      </c>
      <c r="J16" s="32"/>
      <c r="K16" s="25"/>
    </row>
    <row r="17" spans="2:11" s="24" customFormat="1" ht="18.75" x14ac:dyDescent="0.25">
      <c r="B17" s="41"/>
      <c r="C17" s="42"/>
      <c r="D17" s="50" t="s">
        <v>36</v>
      </c>
      <c r="E17" s="36">
        <v>4</v>
      </c>
      <c r="F17" s="29">
        <v>244800</v>
      </c>
      <c r="G17" s="40">
        <f>(Tabella1[[#This Row],[IMPORTO complessivo presunto]])*2%</f>
        <v>4896</v>
      </c>
      <c r="H17" s="37" t="str">
        <f>IF($I$11&lt;1,Tabella1[[#This Row],[Garanzia Provvisoria Base (2% base d''asta)]]*$I$11,"")</f>
        <v/>
      </c>
      <c r="I17" s="28">
        <f>IF(AND(Tabella1[[#This Row],[IMPORTO complessivo presunto]]&lt;&gt;"",Tabella1[[#This Row],[IMPORTO complessivo presunto]]&gt;0),LOOKUP(Tabella1[[#This Row],[IMPORTO complessivo presunto]],Foglio1!$C$4:$D$13),0)</f>
        <v>20</v>
      </c>
      <c r="J17" s="32"/>
      <c r="K17" s="25"/>
    </row>
    <row r="18" spans="2:11" s="24" customFormat="1" ht="18.75" x14ac:dyDescent="0.25">
      <c r="B18" s="41"/>
      <c r="C18" s="42"/>
      <c r="D18" s="50">
        <v>9341873579</v>
      </c>
      <c r="E18" s="36">
        <v>5</v>
      </c>
      <c r="F18" s="29">
        <v>1471500</v>
      </c>
      <c r="G18" s="40">
        <f>(Tabella1[[#This Row],[IMPORTO complessivo presunto]])*2%</f>
        <v>29430</v>
      </c>
      <c r="H18" s="37" t="str">
        <f>IF($I$11&lt;1,Tabella1[[#This Row],[Garanzia Provvisoria Base (2% base d''asta)]]*$I$11,"")</f>
        <v/>
      </c>
      <c r="I18" s="28">
        <f>IF(AND(Tabella1[[#This Row],[IMPORTO complessivo presunto]]&lt;&gt;"",Tabella1[[#This Row],[IMPORTO complessivo presunto]]&gt;0),LOOKUP(Tabella1[[#This Row],[IMPORTO complessivo presunto]],Foglio1!$C$4:$D$13),0)</f>
        <v>140</v>
      </c>
      <c r="J18" s="32"/>
      <c r="K18" s="25"/>
    </row>
    <row r="19" spans="2:11" s="24" customFormat="1" ht="18.75" x14ac:dyDescent="0.25">
      <c r="B19" s="41"/>
      <c r="C19" s="42"/>
      <c r="D19" s="50" t="s">
        <v>37</v>
      </c>
      <c r="E19" s="36">
        <v>6</v>
      </c>
      <c r="F19" s="29">
        <v>960075</v>
      </c>
      <c r="G19" s="40">
        <f>(Tabella1[[#This Row],[IMPORTO complessivo presunto]])*2%</f>
        <v>19201.5</v>
      </c>
      <c r="H19" s="37" t="str">
        <f>IF($I$11&lt;1,Tabella1[[#This Row],[Garanzia Provvisoria Base (2% base d''asta)]]*$I$11,"")</f>
        <v/>
      </c>
      <c r="I19" s="28">
        <f>IF(AND(Tabella1[[#This Row],[IMPORTO complessivo presunto]]&lt;&gt;"",Tabella1[[#This Row],[IMPORTO complessivo presunto]]&gt;0),LOOKUP(Tabella1[[#This Row],[IMPORTO complessivo presunto]],Foglio1!$C$4:$D$13),0)</f>
        <v>80</v>
      </c>
      <c r="J19" s="32"/>
      <c r="K19" s="25"/>
    </row>
    <row r="20" spans="2:11" s="24" customFormat="1" ht="18.75" x14ac:dyDescent="0.25">
      <c r="B20" s="41"/>
      <c r="C20" s="42"/>
      <c r="D20" s="50" t="s">
        <v>38</v>
      </c>
      <c r="E20" s="36">
        <v>7</v>
      </c>
      <c r="F20" s="29">
        <v>212400</v>
      </c>
      <c r="G20" s="40">
        <f>(Tabella1[[#This Row],[IMPORTO complessivo presunto]])*2%</f>
        <v>4248</v>
      </c>
      <c r="H20" s="37" t="str">
        <f>IF($I$11&lt;1,Tabella1[[#This Row],[Garanzia Provvisoria Base (2% base d''asta)]]*$I$11,"")</f>
        <v/>
      </c>
      <c r="I20" s="28">
        <f>IF(AND(Tabella1[[#This Row],[IMPORTO complessivo presunto]]&lt;&gt;"",Tabella1[[#This Row],[IMPORTO complessivo presunto]]&gt;0),LOOKUP(Tabella1[[#This Row],[IMPORTO complessivo presunto]],Foglio1!$C$4:$D$13),0)</f>
        <v>20</v>
      </c>
      <c r="J20" s="32"/>
      <c r="K20" s="25"/>
    </row>
    <row r="21" spans="2:11" s="24" customFormat="1" ht="18.75" x14ac:dyDescent="0.25">
      <c r="B21" s="41"/>
      <c r="C21" s="42"/>
      <c r="D21" s="50" t="s">
        <v>39</v>
      </c>
      <c r="E21" s="36">
        <v>8</v>
      </c>
      <c r="F21" s="29">
        <v>346500</v>
      </c>
      <c r="G21" s="40">
        <f>(Tabella1[[#This Row],[IMPORTO complessivo presunto]])*2%</f>
        <v>6930</v>
      </c>
      <c r="H21" s="37" t="str">
        <f>IF($I$11&lt;1,Tabella1[[#This Row],[Garanzia Provvisoria Base (2% base d''asta)]]*$I$11,"")</f>
        <v/>
      </c>
      <c r="I21" s="28">
        <f>IF(AND(Tabella1[[#This Row],[IMPORTO complessivo presunto]]&lt;&gt;"",Tabella1[[#This Row],[IMPORTO complessivo presunto]]&gt;0),LOOKUP(Tabella1[[#This Row],[IMPORTO complessivo presunto]],Foglio1!$C$4:$D$13),0)</f>
        <v>35</v>
      </c>
      <c r="J21" s="32"/>
      <c r="K21" s="25"/>
    </row>
    <row r="22" spans="2:11" s="24" customFormat="1" ht="18.75" x14ac:dyDescent="0.25">
      <c r="B22" s="41"/>
      <c r="C22" s="42"/>
      <c r="D22" s="50" t="s">
        <v>40</v>
      </c>
      <c r="E22" s="36">
        <v>9</v>
      </c>
      <c r="F22" s="29">
        <v>277312.5</v>
      </c>
      <c r="G22" s="40">
        <f>(Tabella1[[#This Row],[IMPORTO complessivo presunto]])*2%</f>
        <v>5546.25</v>
      </c>
      <c r="H22" s="37" t="str">
        <f>IF($I$11&lt;1,Tabella1[[#This Row],[Garanzia Provvisoria Base (2% base d''asta)]]*$I$11,"")</f>
        <v/>
      </c>
      <c r="I22" s="28">
        <f>IF(AND(Tabella1[[#This Row],[IMPORTO complessivo presunto]]&lt;&gt;"",Tabella1[[#This Row],[IMPORTO complessivo presunto]]&gt;0),LOOKUP(Tabella1[[#This Row],[IMPORTO complessivo presunto]],Foglio1!$C$4:$D$13),0)</f>
        <v>20</v>
      </c>
      <c r="J22" s="32"/>
      <c r="K22" s="25"/>
    </row>
    <row r="23" spans="2:11" s="24" customFormat="1" ht="18.75" x14ac:dyDescent="0.25">
      <c r="B23" s="41"/>
      <c r="C23" s="42"/>
      <c r="D23" s="50">
        <v>9342064318</v>
      </c>
      <c r="E23" s="36">
        <v>10</v>
      </c>
      <c r="F23" s="29">
        <v>258300</v>
      </c>
      <c r="G23" s="40">
        <f>(Tabella1[[#This Row],[IMPORTO complessivo presunto]])*2%</f>
        <v>5166</v>
      </c>
      <c r="H23" s="37" t="str">
        <f>IF($I$11&lt;1,Tabella1[[#This Row],[Garanzia Provvisoria Base (2% base d''asta)]]*$I$11,"")</f>
        <v/>
      </c>
      <c r="I23" s="28">
        <f>IF(AND(Tabella1[[#This Row],[IMPORTO complessivo presunto]]&lt;&gt;"",Tabella1[[#This Row],[IMPORTO complessivo presunto]]&gt;0),LOOKUP(Tabella1[[#This Row],[IMPORTO complessivo presunto]],Foglio1!$C$4:$D$13),0)</f>
        <v>20</v>
      </c>
      <c r="J23" s="32"/>
      <c r="K23" s="25"/>
    </row>
    <row r="24" spans="2:11" s="24" customFormat="1" ht="18.75" x14ac:dyDescent="0.25">
      <c r="B24" s="41"/>
      <c r="C24" s="42"/>
      <c r="D24" s="50" t="s">
        <v>41</v>
      </c>
      <c r="E24" s="36">
        <v>11</v>
      </c>
      <c r="F24" s="29">
        <v>390600</v>
      </c>
      <c r="G24" s="40">
        <f>(Tabella1[[#This Row],[IMPORTO complessivo presunto]])*2%</f>
        <v>7812</v>
      </c>
      <c r="H24" s="37" t="str">
        <f>IF($I$11&lt;1,Tabella1[[#This Row],[Garanzia Provvisoria Base (2% base d''asta)]]*$I$11,"")</f>
        <v/>
      </c>
      <c r="I24" s="28">
        <f>IF(AND(Tabella1[[#This Row],[IMPORTO complessivo presunto]]&lt;&gt;"",Tabella1[[#This Row],[IMPORTO complessivo presunto]]&gt;0),LOOKUP(Tabella1[[#This Row],[IMPORTO complessivo presunto]],Foglio1!$C$4:$D$13),0)</f>
        <v>35</v>
      </c>
      <c r="J24" s="32"/>
      <c r="K24" s="25"/>
    </row>
    <row r="25" spans="2:11" s="24" customFormat="1" ht="18.75" x14ac:dyDescent="0.25">
      <c r="B25" s="41"/>
      <c r="C25" s="42"/>
      <c r="D25" s="50" t="s">
        <v>42</v>
      </c>
      <c r="E25" s="36">
        <v>12</v>
      </c>
      <c r="F25" s="29">
        <v>1552210.31</v>
      </c>
      <c r="G25" s="40">
        <f>(Tabella1[[#This Row],[IMPORTO complessivo presunto]])*2%</f>
        <v>31044.206200000001</v>
      </c>
      <c r="H25" s="37" t="str">
        <f>IF($I$11&lt;1,Tabella1[[#This Row],[Garanzia Provvisoria Base (2% base d''asta)]]*$I$11,"")</f>
        <v/>
      </c>
      <c r="I25" s="28">
        <f>IF(AND(Tabella1[[#This Row],[IMPORTO complessivo presunto]]&lt;&gt;"",Tabella1[[#This Row],[IMPORTO complessivo presunto]]&gt;0),LOOKUP(Tabella1[[#This Row],[IMPORTO complessivo presunto]],Foglio1!$C$4:$D$13),0)</f>
        <v>140</v>
      </c>
      <c r="J25" s="32"/>
      <c r="K25" s="25"/>
    </row>
    <row r="26" spans="2:11" s="24" customFormat="1" ht="18.75" x14ac:dyDescent="0.25">
      <c r="B26" s="41"/>
      <c r="C26" s="42"/>
      <c r="D26" s="50" t="s">
        <v>43</v>
      </c>
      <c r="E26" s="36">
        <v>13</v>
      </c>
      <c r="F26" s="29">
        <v>306000</v>
      </c>
      <c r="G26" s="40">
        <f>(Tabella1[[#This Row],[IMPORTO complessivo presunto]])*2%</f>
        <v>6120</v>
      </c>
      <c r="H26" s="37" t="str">
        <f>IF($I$11&lt;1,Tabella1[[#This Row],[Garanzia Provvisoria Base (2% base d''asta)]]*$I$11,"")</f>
        <v/>
      </c>
      <c r="I26" s="28">
        <f>IF(AND(Tabella1[[#This Row],[IMPORTO complessivo presunto]]&lt;&gt;"",Tabella1[[#This Row],[IMPORTO complessivo presunto]]&gt;0),LOOKUP(Tabella1[[#This Row],[IMPORTO complessivo presunto]],Foglio1!$C$4:$D$13),0)</f>
        <v>35</v>
      </c>
      <c r="J26" s="32"/>
      <c r="K26" s="25"/>
    </row>
    <row r="27" spans="2:11" s="24" customFormat="1" ht="18.75" x14ac:dyDescent="0.25">
      <c r="B27" s="41"/>
      <c r="C27" s="42"/>
      <c r="D27" s="50">
        <v>9342166743</v>
      </c>
      <c r="E27" s="36">
        <v>14</v>
      </c>
      <c r="F27" s="29">
        <v>45000</v>
      </c>
      <c r="G27" s="40">
        <f>(Tabella1[[#This Row],[IMPORTO complessivo presunto]])*2%</f>
        <v>900</v>
      </c>
      <c r="H27" s="37" t="str">
        <f>IF($I$11&lt;1,Tabella1[[#This Row],[Garanzia Provvisoria Base (2% base d''asta)]]*$I$11,"")</f>
        <v/>
      </c>
      <c r="I27" s="28">
        <f>IF(AND(Tabella1[[#This Row],[IMPORTO complessivo presunto]]&lt;&gt;"",Tabella1[[#This Row],[IMPORTO complessivo presunto]]&gt;0),LOOKUP(Tabella1[[#This Row],[IMPORTO complessivo presunto]],Foglio1!$C$4:$D$13),0)</f>
        <v>0</v>
      </c>
      <c r="J27" s="32"/>
      <c r="K27" s="25"/>
    </row>
    <row r="28" spans="2:11" s="24" customFormat="1" ht="18.75" x14ac:dyDescent="0.25">
      <c r="B28" s="41"/>
      <c r="C28" s="42"/>
      <c r="D28" s="50" t="s">
        <v>44</v>
      </c>
      <c r="E28" s="36">
        <v>15</v>
      </c>
      <c r="F28" s="29">
        <v>225000</v>
      </c>
      <c r="G28" s="40">
        <f>(Tabella1[[#This Row],[IMPORTO complessivo presunto]])*2%</f>
        <v>4500</v>
      </c>
      <c r="H28" s="37" t="str">
        <f>IF($I$11&lt;1,Tabella1[[#This Row],[Garanzia Provvisoria Base (2% base d''asta)]]*$I$11,"")</f>
        <v/>
      </c>
      <c r="I28" s="28">
        <f>IF(AND(Tabella1[[#This Row],[IMPORTO complessivo presunto]]&lt;&gt;"",Tabella1[[#This Row],[IMPORTO complessivo presunto]]&gt;0),LOOKUP(Tabella1[[#This Row],[IMPORTO complessivo presunto]],Foglio1!$C$4:$D$13),0)</f>
        <v>20</v>
      </c>
      <c r="J28" s="32"/>
      <c r="K28" s="25"/>
    </row>
    <row r="29" spans="2:11" s="24" customFormat="1" ht="18.75" x14ac:dyDescent="0.25">
      <c r="B29" s="41"/>
      <c r="C29" s="42"/>
      <c r="D29" s="50">
        <v>9342264822</v>
      </c>
      <c r="E29" s="36">
        <v>16</v>
      </c>
      <c r="F29" s="29">
        <v>202500</v>
      </c>
      <c r="G29" s="40">
        <f>(Tabella1[[#This Row],[IMPORTO complessivo presunto]])*2%</f>
        <v>4050</v>
      </c>
      <c r="H29" s="37" t="str">
        <f>IF($I$11&lt;1,Tabella1[[#This Row],[Garanzia Provvisoria Base (2% base d''asta)]]*$I$11,"")</f>
        <v/>
      </c>
      <c r="I29" s="28">
        <f>IF(AND(Tabella1[[#This Row],[IMPORTO complessivo presunto]]&lt;&gt;"",Tabella1[[#This Row],[IMPORTO complessivo presunto]]&gt;0),LOOKUP(Tabella1[[#This Row],[IMPORTO complessivo presunto]],Foglio1!$C$4:$D$13),0)</f>
        <v>20</v>
      </c>
      <c r="J29" s="32"/>
      <c r="K29" s="25"/>
    </row>
    <row r="30" spans="2:11" s="24" customFormat="1" ht="18.75" x14ac:dyDescent="0.25">
      <c r="B30" s="41"/>
      <c r="C30" s="42"/>
      <c r="D30" s="50" t="s">
        <v>45</v>
      </c>
      <c r="E30" s="36">
        <v>17</v>
      </c>
      <c r="F30" s="29">
        <v>54000</v>
      </c>
      <c r="G30" s="40">
        <f>(Tabella1[[#This Row],[IMPORTO complessivo presunto]])*2%</f>
        <v>1080</v>
      </c>
      <c r="H30" s="37" t="str">
        <f>IF($I$11&lt;1,Tabella1[[#This Row],[Garanzia Provvisoria Base (2% base d''asta)]]*$I$11,"")</f>
        <v/>
      </c>
      <c r="I30" s="28">
        <f>IF(AND(Tabella1[[#This Row],[IMPORTO complessivo presunto]]&lt;&gt;"",Tabella1[[#This Row],[IMPORTO complessivo presunto]]&gt;0),LOOKUP(Tabella1[[#This Row],[IMPORTO complessivo presunto]],Foglio1!$C$4:$D$13),0)</f>
        <v>0</v>
      </c>
      <c r="J30" s="32"/>
      <c r="K30" s="25"/>
    </row>
    <row r="31" spans="2:11" s="24" customFormat="1" ht="18.75" x14ac:dyDescent="0.25">
      <c r="B31" s="41"/>
      <c r="C31" s="42"/>
      <c r="D31" s="50" t="s">
        <v>46</v>
      </c>
      <c r="E31" s="36">
        <v>18</v>
      </c>
      <c r="F31" s="29">
        <v>75600</v>
      </c>
      <c r="G31" s="40">
        <f>(Tabella1[[#This Row],[IMPORTO complessivo presunto]])*2%</f>
        <v>1512</v>
      </c>
      <c r="H31" s="37" t="str">
        <f>IF($I$11&lt;1,Tabella1[[#This Row],[Garanzia Provvisoria Base (2% base d''asta)]]*$I$11,"")</f>
        <v/>
      </c>
      <c r="I31" s="28">
        <f>IF(AND(Tabella1[[#This Row],[IMPORTO complessivo presunto]]&lt;&gt;"",Tabella1[[#This Row],[IMPORTO complessivo presunto]]&gt;0),LOOKUP(Tabella1[[#This Row],[IMPORTO complessivo presunto]],Foglio1!$C$4:$D$13),0)</f>
        <v>0</v>
      </c>
      <c r="J31" s="32"/>
      <c r="K31" s="25"/>
    </row>
    <row r="32" spans="2:11" s="24" customFormat="1" ht="18.75" x14ac:dyDescent="0.25">
      <c r="B32" s="41"/>
      <c r="C32" s="42"/>
      <c r="D32" s="50">
        <v>9342411173</v>
      </c>
      <c r="E32" s="36">
        <v>19</v>
      </c>
      <c r="F32" s="29">
        <v>207000</v>
      </c>
      <c r="G32" s="40">
        <f>(Tabella1[[#This Row],[IMPORTO complessivo presunto]])*2%</f>
        <v>4140</v>
      </c>
      <c r="H32" s="37" t="str">
        <f>IF($I$11&lt;1,Tabella1[[#This Row],[Garanzia Provvisoria Base (2% base d''asta)]]*$I$11,"")</f>
        <v/>
      </c>
      <c r="I32" s="28">
        <f>IF(AND(Tabella1[[#This Row],[IMPORTO complessivo presunto]]&lt;&gt;"",Tabella1[[#This Row],[IMPORTO complessivo presunto]]&gt;0),LOOKUP(Tabella1[[#This Row],[IMPORTO complessivo presunto]],Foglio1!$C$4:$D$13),0)</f>
        <v>20</v>
      </c>
      <c r="J32" s="32"/>
      <c r="K32" s="25"/>
    </row>
    <row r="33" spans="2:11" s="24" customFormat="1" ht="18.75" x14ac:dyDescent="0.25">
      <c r="B33" s="41"/>
      <c r="C33" s="42"/>
      <c r="D33" s="50" t="s">
        <v>47</v>
      </c>
      <c r="E33" s="36">
        <v>20</v>
      </c>
      <c r="F33" s="29">
        <v>222750</v>
      </c>
      <c r="G33" s="40">
        <f>(Tabella1[[#This Row],[IMPORTO complessivo presunto]])*2%</f>
        <v>4455</v>
      </c>
      <c r="H33" s="37" t="str">
        <f>IF($I$11&lt;1,Tabella1[[#This Row],[Garanzia Provvisoria Base (2% base d''asta)]]*$I$11,"")</f>
        <v/>
      </c>
      <c r="I33" s="28">
        <f>IF(AND(Tabella1[[#This Row],[IMPORTO complessivo presunto]]&lt;&gt;"",Tabella1[[#This Row],[IMPORTO complessivo presunto]]&gt;0),LOOKUP(Tabella1[[#This Row],[IMPORTO complessivo presunto]],Foglio1!$C$4:$D$13),0)</f>
        <v>20</v>
      </c>
      <c r="J33" s="32"/>
      <c r="K33" s="25"/>
    </row>
    <row r="34" spans="2:11" s="24" customFormat="1" ht="18.75" x14ac:dyDescent="0.25">
      <c r="B34" s="41"/>
      <c r="C34" s="42"/>
      <c r="D34" s="50">
        <v>9343641878</v>
      </c>
      <c r="E34" s="36">
        <v>21</v>
      </c>
      <c r="F34" s="29">
        <v>567000</v>
      </c>
      <c r="G34" s="40">
        <f>(Tabella1[[#This Row],[IMPORTO complessivo presunto]])*2%</f>
        <v>11340</v>
      </c>
      <c r="H34" s="37" t="str">
        <f>IF($I$11&lt;1,Tabella1[[#This Row],[Garanzia Provvisoria Base (2% base d''asta)]]*$I$11,"")</f>
        <v/>
      </c>
      <c r="I34" s="28">
        <f>IF(AND(Tabella1[[#This Row],[IMPORTO complessivo presunto]]&lt;&gt;"",Tabella1[[#This Row],[IMPORTO complessivo presunto]]&gt;0),LOOKUP(Tabella1[[#This Row],[IMPORTO complessivo presunto]],Foglio1!$C$4:$D$13),0)</f>
        <v>70</v>
      </c>
      <c r="J34" s="32"/>
      <c r="K34" s="25"/>
    </row>
    <row r="35" spans="2:11" s="24" customFormat="1" ht="18.75" x14ac:dyDescent="0.25">
      <c r="B35" s="41"/>
      <c r="C35" s="42"/>
      <c r="D35" s="50" t="s">
        <v>48</v>
      </c>
      <c r="E35" s="36">
        <v>22</v>
      </c>
      <c r="F35" s="29">
        <v>216000</v>
      </c>
      <c r="G35" s="40">
        <f>(Tabella1[[#This Row],[IMPORTO complessivo presunto]])*2%</f>
        <v>4320</v>
      </c>
      <c r="H35" s="37" t="str">
        <f>IF($I$11&lt;1,Tabella1[[#This Row],[Garanzia Provvisoria Base (2% base d''asta)]]*$I$11,"")</f>
        <v/>
      </c>
      <c r="I35" s="28">
        <f>IF(AND(Tabella1[[#This Row],[IMPORTO complessivo presunto]]&lt;&gt;"",Tabella1[[#This Row],[IMPORTO complessivo presunto]]&gt;0),LOOKUP(Tabella1[[#This Row],[IMPORTO complessivo presunto]],Foglio1!$C$4:$D$13),0)</f>
        <v>20</v>
      </c>
      <c r="J35" s="32"/>
      <c r="K35" s="25"/>
    </row>
    <row r="36" spans="2:11" s="24" customFormat="1" ht="18.75" x14ac:dyDescent="0.25">
      <c r="B36" s="41"/>
      <c r="C36" s="42"/>
      <c r="D36" s="50">
        <v>9343654334</v>
      </c>
      <c r="E36" s="36">
        <v>23</v>
      </c>
      <c r="F36" s="29">
        <v>72000</v>
      </c>
      <c r="G36" s="40">
        <f>(Tabella1[[#This Row],[IMPORTO complessivo presunto]])*2%</f>
        <v>1440</v>
      </c>
      <c r="H36" s="37" t="str">
        <f>IF($I$11&lt;1,Tabella1[[#This Row],[Garanzia Provvisoria Base (2% base d''asta)]]*$I$11,"")</f>
        <v/>
      </c>
      <c r="I36" s="28">
        <f>IF(AND(Tabella1[[#This Row],[IMPORTO complessivo presunto]]&lt;&gt;"",Tabella1[[#This Row],[IMPORTO complessivo presunto]]&gt;0),LOOKUP(Tabella1[[#This Row],[IMPORTO complessivo presunto]],Foglio1!$C$4:$D$13),0)</f>
        <v>0</v>
      </c>
      <c r="J36" s="32"/>
      <c r="K36" s="25"/>
    </row>
    <row r="37" spans="2:11" s="24" customFormat="1" ht="18.75" x14ac:dyDescent="0.25">
      <c r="B37" s="41"/>
      <c r="C37" s="42"/>
      <c r="D37" s="50" t="s">
        <v>49</v>
      </c>
      <c r="E37" s="36">
        <v>24</v>
      </c>
      <c r="F37" s="29">
        <v>143982</v>
      </c>
      <c r="G37" s="40">
        <f>(Tabella1[[#This Row],[IMPORTO complessivo presunto]])*2%</f>
        <v>2879.64</v>
      </c>
      <c r="H37" s="37" t="str">
        <f>IF($I$11&lt;1,Tabella1[[#This Row],[Garanzia Provvisoria Base (2% base d''asta)]]*$I$11,"")</f>
        <v/>
      </c>
      <c r="I37" s="28">
        <f>IF(AND(Tabella1[[#This Row],[IMPORTO complessivo presunto]]&lt;&gt;"",Tabella1[[#This Row],[IMPORTO complessivo presunto]]&gt;0),LOOKUP(Tabella1[[#This Row],[IMPORTO complessivo presunto]],Foglio1!$C$4:$D$13),0)</f>
        <v>0</v>
      </c>
      <c r="J37" s="32"/>
      <c r="K37" s="25"/>
    </row>
    <row r="38" spans="2:11" s="24" customFormat="1" ht="18.75" x14ac:dyDescent="0.25">
      <c r="B38" s="41"/>
      <c r="C38" s="42"/>
      <c r="D38" s="50">
        <v>9343678701</v>
      </c>
      <c r="E38" s="36">
        <v>25</v>
      </c>
      <c r="F38" s="29">
        <v>164700</v>
      </c>
      <c r="G38" s="40">
        <f>(Tabella1[[#This Row],[IMPORTO complessivo presunto]])*2%</f>
        <v>3294</v>
      </c>
      <c r="H38" s="37" t="str">
        <f>IF($I$11&lt;1,Tabella1[[#This Row],[Garanzia Provvisoria Base (2% base d''asta)]]*$I$11,"")</f>
        <v/>
      </c>
      <c r="I38" s="28">
        <f>IF(AND(Tabella1[[#This Row],[IMPORTO complessivo presunto]]&lt;&gt;"",Tabella1[[#This Row],[IMPORTO complessivo presunto]]&gt;0),LOOKUP(Tabella1[[#This Row],[IMPORTO complessivo presunto]],Foglio1!$C$4:$D$13),0)</f>
        <v>20</v>
      </c>
      <c r="J38" s="32"/>
      <c r="K38" s="25"/>
    </row>
    <row r="39" spans="2:11" s="24" customFormat="1" ht="18.75" x14ac:dyDescent="0.25">
      <c r="B39" s="41"/>
      <c r="C39" s="42"/>
      <c r="D39" s="50" t="s">
        <v>50</v>
      </c>
      <c r="E39" s="36">
        <v>26</v>
      </c>
      <c r="F39" s="29">
        <v>261000</v>
      </c>
      <c r="G39" s="40">
        <f>(Tabella1[[#This Row],[IMPORTO complessivo presunto]])*2%</f>
        <v>5220</v>
      </c>
      <c r="H39" s="37" t="str">
        <f>IF($I$11&lt;1,Tabella1[[#This Row],[Garanzia Provvisoria Base (2% base d''asta)]]*$I$11,"")</f>
        <v/>
      </c>
      <c r="I39" s="28">
        <f>IF(AND(Tabella1[[#This Row],[IMPORTO complessivo presunto]]&lt;&gt;"",Tabella1[[#This Row],[IMPORTO complessivo presunto]]&gt;0),LOOKUP(Tabella1[[#This Row],[IMPORTO complessivo presunto]],Foglio1!$C$4:$D$13),0)</f>
        <v>20</v>
      </c>
      <c r="J39" s="32"/>
      <c r="K39" s="25"/>
    </row>
    <row r="40" spans="2:11" s="24" customFormat="1" ht="18.75" x14ac:dyDescent="0.25">
      <c r="B40" s="41"/>
      <c r="C40" s="42"/>
      <c r="D40" s="50" t="s">
        <v>51</v>
      </c>
      <c r="E40" s="36">
        <v>27</v>
      </c>
      <c r="F40" s="29">
        <v>463500</v>
      </c>
      <c r="G40" s="40">
        <f>(Tabella1[[#This Row],[IMPORTO complessivo presunto]])*2%</f>
        <v>9270</v>
      </c>
      <c r="H40" s="37" t="str">
        <f>IF($I$11&lt;1,Tabella1[[#This Row],[Garanzia Provvisoria Base (2% base d''asta)]]*$I$11,"")</f>
        <v/>
      </c>
      <c r="I40" s="28">
        <f>IF(AND(Tabella1[[#This Row],[IMPORTO complessivo presunto]]&lt;&gt;"",Tabella1[[#This Row],[IMPORTO complessivo presunto]]&gt;0),LOOKUP(Tabella1[[#This Row],[IMPORTO complessivo presunto]],Foglio1!$C$4:$D$13),0)</f>
        <v>35</v>
      </c>
      <c r="J40" s="32"/>
      <c r="K40" s="25"/>
    </row>
    <row r="41" spans="2:11" s="24" customFormat="1" ht="18.75" x14ac:dyDescent="0.25">
      <c r="B41" s="41"/>
      <c r="C41" s="42"/>
      <c r="D41" s="50" t="s">
        <v>52</v>
      </c>
      <c r="E41" s="36">
        <v>28</v>
      </c>
      <c r="F41" s="29">
        <v>378900</v>
      </c>
      <c r="G41" s="40">
        <f>(Tabella1[[#This Row],[IMPORTO complessivo presunto]])*2%</f>
        <v>7578</v>
      </c>
      <c r="H41" s="37" t="str">
        <f>IF($I$11&lt;1,Tabella1[[#This Row],[Garanzia Provvisoria Base (2% base d''asta)]]*$I$11,"")</f>
        <v/>
      </c>
      <c r="I41" s="28">
        <f>IF(AND(Tabella1[[#This Row],[IMPORTO complessivo presunto]]&lt;&gt;"",Tabella1[[#This Row],[IMPORTO complessivo presunto]]&gt;0),LOOKUP(Tabella1[[#This Row],[IMPORTO complessivo presunto]],Foglio1!$C$4:$D$13),0)</f>
        <v>35</v>
      </c>
      <c r="J41" s="32"/>
      <c r="K41" s="25"/>
    </row>
    <row r="42" spans="2:11" s="24" customFormat="1" ht="18.75" x14ac:dyDescent="0.25">
      <c r="B42" s="41"/>
      <c r="C42" s="42"/>
      <c r="D42" s="50" t="s">
        <v>53</v>
      </c>
      <c r="E42" s="36">
        <v>29</v>
      </c>
      <c r="F42" s="29">
        <v>225000</v>
      </c>
      <c r="G42" s="40">
        <f>(Tabella1[[#This Row],[IMPORTO complessivo presunto]])*2%</f>
        <v>4500</v>
      </c>
      <c r="H42" s="37" t="str">
        <f>IF($I$11&lt;1,Tabella1[[#This Row],[Garanzia Provvisoria Base (2% base d''asta)]]*$I$11,"")</f>
        <v/>
      </c>
      <c r="I42" s="28">
        <f>IF(AND(Tabella1[[#This Row],[IMPORTO complessivo presunto]]&lt;&gt;"",Tabella1[[#This Row],[IMPORTO complessivo presunto]]&gt;0),LOOKUP(Tabella1[[#This Row],[IMPORTO complessivo presunto]],Foglio1!$C$4:$D$13),0)</f>
        <v>20</v>
      </c>
      <c r="J42" s="32"/>
      <c r="K42" s="25"/>
    </row>
    <row r="43" spans="2:11" s="24" customFormat="1" ht="18.75" x14ac:dyDescent="0.25">
      <c r="B43" s="41"/>
      <c r="C43" s="42"/>
      <c r="D43" s="50">
        <v>9343767075</v>
      </c>
      <c r="E43" s="36">
        <v>30</v>
      </c>
      <c r="F43" s="29">
        <v>362772</v>
      </c>
      <c r="G43" s="40">
        <f>(Tabella1[[#This Row],[IMPORTO complessivo presunto]])*2%</f>
        <v>7255.4400000000005</v>
      </c>
      <c r="H43" s="37" t="str">
        <f>IF($I$11&lt;1,Tabella1[[#This Row],[Garanzia Provvisoria Base (2% base d''asta)]]*$I$11,"")</f>
        <v/>
      </c>
      <c r="I43" s="28">
        <f>IF(AND(Tabella1[[#This Row],[IMPORTO complessivo presunto]]&lt;&gt;"",Tabella1[[#This Row],[IMPORTO complessivo presunto]]&gt;0),LOOKUP(Tabella1[[#This Row],[IMPORTO complessivo presunto]],Foglio1!$C$4:$D$13),0)</f>
        <v>35</v>
      </c>
      <c r="J43" s="32"/>
      <c r="K43" s="25"/>
    </row>
    <row r="44" spans="2:11" s="24" customFormat="1" ht="18.75" x14ac:dyDescent="0.25">
      <c r="B44" s="41"/>
      <c r="C44" s="42"/>
      <c r="D44" s="50" t="s">
        <v>54</v>
      </c>
      <c r="E44" s="36">
        <v>31</v>
      </c>
      <c r="F44" s="29">
        <v>100080</v>
      </c>
      <c r="G44" s="40">
        <f>(Tabella1[[#This Row],[IMPORTO complessivo presunto]])*2%</f>
        <v>2001.6000000000001</v>
      </c>
      <c r="H44" s="37" t="str">
        <f>IF($I$11&lt;1,Tabella1[[#This Row],[Garanzia Provvisoria Base (2% base d''asta)]]*$I$11,"")</f>
        <v/>
      </c>
      <c r="I44" s="28">
        <f>IF(AND(Tabella1[[#This Row],[IMPORTO complessivo presunto]]&lt;&gt;"",Tabella1[[#This Row],[IMPORTO complessivo presunto]]&gt;0),LOOKUP(Tabella1[[#This Row],[IMPORTO complessivo presunto]],Foglio1!$C$4:$D$13),0)</f>
        <v>0</v>
      </c>
      <c r="J44" s="32"/>
      <c r="K44" s="25"/>
    </row>
    <row r="45" spans="2:11" s="24" customFormat="1" ht="18.75" x14ac:dyDescent="0.25">
      <c r="B45" s="41"/>
      <c r="C45" s="42"/>
      <c r="D45" s="50" t="s">
        <v>55</v>
      </c>
      <c r="E45" s="36">
        <v>32</v>
      </c>
      <c r="F45" s="29">
        <v>735690.46</v>
      </c>
      <c r="G45" s="40">
        <f>(Tabella1[[#This Row],[IMPORTO complessivo presunto]])*2%</f>
        <v>14713.8092</v>
      </c>
      <c r="H45" s="37" t="str">
        <f>IF($I$11&lt;1,Tabella1[[#This Row],[Garanzia Provvisoria Base (2% base d''asta)]]*$I$11,"")</f>
        <v/>
      </c>
      <c r="I45" s="28">
        <f>IF(AND(Tabella1[[#This Row],[IMPORTO complessivo presunto]]&lt;&gt;"",Tabella1[[#This Row],[IMPORTO complessivo presunto]]&gt;0),LOOKUP(Tabella1[[#This Row],[IMPORTO complessivo presunto]],Foglio1!$C$4:$D$13),0)</f>
        <v>70</v>
      </c>
      <c r="J45" s="32"/>
      <c r="K45" s="25"/>
    </row>
    <row r="46" spans="2:11" s="24" customFormat="1" ht="18.75" x14ac:dyDescent="0.25">
      <c r="B46" s="41"/>
      <c r="C46" s="42"/>
      <c r="D46" s="50">
        <v>9343830471</v>
      </c>
      <c r="E46" s="36">
        <v>33</v>
      </c>
      <c r="F46" s="29">
        <v>204156</v>
      </c>
      <c r="G46" s="40">
        <f>(Tabella1[[#This Row],[IMPORTO complessivo presunto]])*2%</f>
        <v>4083.12</v>
      </c>
      <c r="H46" s="37" t="str">
        <f>IF($I$11&lt;1,Tabella1[[#This Row],[Garanzia Provvisoria Base (2% base d''asta)]]*$I$11,"")</f>
        <v/>
      </c>
      <c r="I46" s="28">
        <f>IF(AND(Tabella1[[#This Row],[IMPORTO complessivo presunto]]&lt;&gt;"",Tabella1[[#This Row],[IMPORTO complessivo presunto]]&gt;0),LOOKUP(Tabella1[[#This Row],[IMPORTO complessivo presunto]],Foglio1!$C$4:$D$13),0)</f>
        <v>20</v>
      </c>
      <c r="J46" s="32"/>
      <c r="K46" s="25"/>
    </row>
    <row r="47" spans="2:11" s="24" customFormat="1" ht="18.75" x14ac:dyDescent="0.25">
      <c r="B47" s="41"/>
      <c r="C47" s="42"/>
      <c r="D47" s="50" t="s">
        <v>56</v>
      </c>
      <c r="E47" s="36">
        <v>34</v>
      </c>
      <c r="F47" s="29">
        <v>866250</v>
      </c>
      <c r="G47" s="40">
        <f>(Tabella1[[#This Row],[IMPORTO complessivo presunto]])*2%</f>
        <v>17325</v>
      </c>
      <c r="H47" s="37" t="str">
        <f>IF($I$11&lt;1,Tabella1[[#This Row],[Garanzia Provvisoria Base (2% base d''asta)]]*$I$11,"")</f>
        <v/>
      </c>
      <c r="I47" s="28">
        <f>IF(AND(Tabella1[[#This Row],[IMPORTO complessivo presunto]]&lt;&gt;"",Tabella1[[#This Row],[IMPORTO complessivo presunto]]&gt;0),LOOKUP(Tabella1[[#This Row],[IMPORTO complessivo presunto]],Foglio1!$C$4:$D$13),0)</f>
        <v>80</v>
      </c>
      <c r="J47" s="32"/>
      <c r="K47" s="25"/>
    </row>
    <row r="48" spans="2:11" s="24" customFormat="1" ht="18.75" x14ac:dyDescent="0.25">
      <c r="B48" s="41"/>
      <c r="C48" s="42"/>
      <c r="D48" s="50" t="s">
        <v>57</v>
      </c>
      <c r="E48" s="36">
        <v>35</v>
      </c>
      <c r="F48" s="29">
        <v>247500</v>
      </c>
      <c r="G48" s="40">
        <f>(Tabella1[[#This Row],[IMPORTO complessivo presunto]])*2%</f>
        <v>4950</v>
      </c>
      <c r="H48" s="37" t="str">
        <f>IF($I$11&lt;1,Tabella1[[#This Row],[Garanzia Provvisoria Base (2% base d''asta)]]*$I$11,"")</f>
        <v/>
      </c>
      <c r="I48" s="28">
        <f>IF(AND(Tabella1[[#This Row],[IMPORTO complessivo presunto]]&lt;&gt;"",Tabella1[[#This Row],[IMPORTO complessivo presunto]]&gt;0),LOOKUP(Tabella1[[#This Row],[IMPORTO complessivo presunto]],Foglio1!$C$4:$D$13),0)</f>
        <v>20</v>
      </c>
      <c r="J48" s="32"/>
      <c r="K48" s="25"/>
    </row>
    <row r="49" spans="2:11" s="24" customFormat="1" ht="18.75" x14ac:dyDescent="0.25">
      <c r="B49" s="41"/>
      <c r="C49" s="42"/>
      <c r="D49" s="50" t="s">
        <v>58</v>
      </c>
      <c r="E49" s="36">
        <v>36</v>
      </c>
      <c r="F49" s="29">
        <v>90000</v>
      </c>
      <c r="G49" s="40">
        <f>(Tabella1[[#This Row],[IMPORTO complessivo presunto]])*2%</f>
        <v>1800</v>
      </c>
      <c r="H49" s="37" t="str">
        <f>IF($I$11&lt;1,Tabella1[[#This Row],[Garanzia Provvisoria Base (2% base d''asta)]]*$I$11,"")</f>
        <v/>
      </c>
      <c r="I49" s="28">
        <f>IF(AND(Tabella1[[#This Row],[IMPORTO complessivo presunto]]&lt;&gt;"",Tabella1[[#This Row],[IMPORTO complessivo presunto]]&gt;0),LOOKUP(Tabella1[[#This Row],[IMPORTO complessivo presunto]],Foglio1!$C$4:$D$13),0)</f>
        <v>0</v>
      </c>
      <c r="J49" s="32"/>
      <c r="K49" s="25"/>
    </row>
    <row r="50" spans="2:11" s="24" customFormat="1" ht="18.75" x14ac:dyDescent="0.25">
      <c r="B50" s="41"/>
      <c r="C50" s="42"/>
      <c r="D50" s="50" t="s">
        <v>59</v>
      </c>
      <c r="E50" s="36">
        <v>37</v>
      </c>
      <c r="F50" s="29">
        <v>247500</v>
      </c>
      <c r="G50" s="40">
        <f>(Tabella1[[#This Row],[IMPORTO complessivo presunto]])*2%</f>
        <v>4950</v>
      </c>
      <c r="H50" s="37" t="str">
        <f>IF($I$11&lt;1,Tabella1[[#This Row],[Garanzia Provvisoria Base (2% base d''asta)]]*$I$11,"")</f>
        <v/>
      </c>
      <c r="I50" s="28">
        <f>IF(AND(Tabella1[[#This Row],[IMPORTO complessivo presunto]]&lt;&gt;"",Tabella1[[#This Row],[IMPORTO complessivo presunto]]&gt;0),LOOKUP(Tabella1[[#This Row],[IMPORTO complessivo presunto]],Foglio1!$C$4:$D$13),0)</f>
        <v>20</v>
      </c>
      <c r="J50" s="32"/>
      <c r="K50" s="25"/>
    </row>
    <row r="51" spans="2:11" s="24" customFormat="1" ht="18.75" x14ac:dyDescent="0.25">
      <c r="B51" s="41"/>
      <c r="C51" s="42"/>
      <c r="D51" s="50" t="s">
        <v>60</v>
      </c>
      <c r="E51" s="36">
        <v>38</v>
      </c>
      <c r="F51" s="29">
        <v>567846</v>
      </c>
      <c r="G51" s="40">
        <f>(Tabella1[[#This Row],[IMPORTO complessivo presunto]])*2%</f>
        <v>11356.92</v>
      </c>
      <c r="H51" s="37" t="str">
        <f>IF($I$11&lt;1,Tabella1[[#This Row],[Garanzia Provvisoria Base (2% base d''asta)]]*$I$11,"")</f>
        <v/>
      </c>
      <c r="I51" s="28">
        <f>IF(AND(Tabella1[[#This Row],[IMPORTO complessivo presunto]]&lt;&gt;"",Tabella1[[#This Row],[IMPORTO complessivo presunto]]&gt;0),LOOKUP(Tabella1[[#This Row],[IMPORTO complessivo presunto]],Foglio1!$C$4:$D$13),0)</f>
        <v>70</v>
      </c>
      <c r="J51" s="32"/>
      <c r="K51" s="25"/>
    </row>
    <row r="52" spans="2:11" s="24" customFormat="1" ht="18.75" x14ac:dyDescent="0.25">
      <c r="B52" s="41"/>
      <c r="C52" s="42"/>
      <c r="D52" s="50" t="s">
        <v>61</v>
      </c>
      <c r="E52" s="36">
        <v>39</v>
      </c>
      <c r="F52" s="29">
        <v>741712.5</v>
      </c>
      <c r="G52" s="40">
        <f>(Tabella1[[#This Row],[IMPORTO complessivo presunto]])*2%</f>
        <v>14834.25</v>
      </c>
      <c r="H52" s="37" t="str">
        <f>IF($I$11&lt;1,Tabella1[[#This Row],[Garanzia Provvisoria Base (2% base d''asta)]]*$I$11,"")</f>
        <v/>
      </c>
      <c r="I52" s="28">
        <f>IF(AND(Tabella1[[#This Row],[IMPORTO complessivo presunto]]&lt;&gt;"",Tabella1[[#This Row],[IMPORTO complessivo presunto]]&gt;0),LOOKUP(Tabella1[[#This Row],[IMPORTO complessivo presunto]],Foglio1!$C$4:$D$13),0)</f>
        <v>70</v>
      </c>
      <c r="J52" s="32"/>
      <c r="K52" s="25"/>
    </row>
    <row r="53" spans="2:11" s="24" customFormat="1" ht="18.75" x14ac:dyDescent="0.25">
      <c r="B53" s="41"/>
      <c r="C53" s="42"/>
      <c r="D53" s="50" t="s">
        <v>62</v>
      </c>
      <c r="E53" s="36">
        <v>40</v>
      </c>
      <c r="F53" s="29">
        <v>485325</v>
      </c>
      <c r="G53" s="40">
        <f>(Tabella1[[#This Row],[IMPORTO complessivo presunto]])*2%</f>
        <v>9706.5</v>
      </c>
      <c r="H53" s="37" t="str">
        <f>IF($I$11&lt;1,Tabella1[[#This Row],[Garanzia Provvisoria Base (2% base d''asta)]]*$I$11,"")</f>
        <v/>
      </c>
      <c r="I53" s="28">
        <f>IF(AND(Tabella1[[#This Row],[IMPORTO complessivo presunto]]&lt;&gt;"",Tabella1[[#This Row],[IMPORTO complessivo presunto]]&gt;0),LOOKUP(Tabella1[[#This Row],[IMPORTO complessivo presunto]],Foglio1!$C$4:$D$13),0)</f>
        <v>35</v>
      </c>
      <c r="J53" s="32"/>
      <c r="K53" s="25"/>
    </row>
    <row r="54" spans="2:11" s="24" customFormat="1" ht="18.75" x14ac:dyDescent="0.25">
      <c r="B54" s="41"/>
      <c r="C54" s="42"/>
      <c r="D54" s="50" t="s">
        <v>63</v>
      </c>
      <c r="E54" s="36">
        <v>41</v>
      </c>
      <c r="F54" s="29">
        <v>200250</v>
      </c>
      <c r="G54" s="40">
        <f>(Tabella1[[#This Row],[IMPORTO complessivo presunto]])*2%</f>
        <v>4005</v>
      </c>
      <c r="H54" s="37" t="str">
        <f>IF($I$11&lt;1,Tabella1[[#This Row],[Garanzia Provvisoria Base (2% base d''asta)]]*$I$11,"")</f>
        <v/>
      </c>
      <c r="I54" s="28">
        <f>IF(AND(Tabella1[[#This Row],[IMPORTO complessivo presunto]]&lt;&gt;"",Tabella1[[#This Row],[IMPORTO complessivo presunto]]&gt;0),LOOKUP(Tabella1[[#This Row],[IMPORTO complessivo presunto]],Foglio1!$C$4:$D$13),0)</f>
        <v>20</v>
      </c>
      <c r="J54" s="32"/>
      <c r="K54" s="25"/>
    </row>
    <row r="55" spans="2:11" s="24" customFormat="1" ht="18.75" x14ac:dyDescent="0.25">
      <c r="B55" s="41"/>
      <c r="C55" s="42"/>
      <c r="D55" s="50" t="s">
        <v>64</v>
      </c>
      <c r="E55" s="36">
        <v>42</v>
      </c>
      <c r="F55" s="29">
        <v>292500</v>
      </c>
      <c r="G55" s="40">
        <f>(Tabella1[[#This Row],[IMPORTO complessivo presunto]])*2%</f>
        <v>5850</v>
      </c>
      <c r="H55" s="37" t="str">
        <f>IF($I$11&lt;1,Tabella1[[#This Row],[Garanzia Provvisoria Base (2% base d''asta)]]*$I$11,"")</f>
        <v/>
      </c>
      <c r="I55" s="28">
        <f>IF(AND(Tabella1[[#This Row],[IMPORTO complessivo presunto]]&lt;&gt;"",Tabella1[[#This Row],[IMPORTO complessivo presunto]]&gt;0),LOOKUP(Tabella1[[#This Row],[IMPORTO complessivo presunto]],Foglio1!$C$4:$D$13),0)</f>
        <v>20</v>
      </c>
      <c r="J55" s="32"/>
      <c r="K55" s="25"/>
    </row>
    <row r="56" spans="2:11" s="24" customFormat="1" ht="18.75" x14ac:dyDescent="0.25">
      <c r="B56" s="41"/>
      <c r="C56" s="42"/>
      <c r="D56" s="50" t="s">
        <v>65</v>
      </c>
      <c r="E56" s="36">
        <v>43</v>
      </c>
      <c r="F56" s="29">
        <v>315000</v>
      </c>
      <c r="G56" s="40">
        <f>(Tabella1[[#This Row],[IMPORTO complessivo presunto]])*2%</f>
        <v>6300</v>
      </c>
      <c r="H56" s="37" t="str">
        <f>IF($I$11&lt;1,Tabella1[[#This Row],[Garanzia Provvisoria Base (2% base d''asta)]]*$I$11,"")</f>
        <v/>
      </c>
      <c r="I56" s="28">
        <f>IF(AND(Tabella1[[#This Row],[IMPORTO complessivo presunto]]&lt;&gt;"",Tabella1[[#This Row],[IMPORTO complessivo presunto]]&gt;0),LOOKUP(Tabella1[[#This Row],[IMPORTO complessivo presunto]],Foglio1!$C$4:$D$13),0)</f>
        <v>35</v>
      </c>
      <c r="J56" s="32"/>
      <c r="K56" s="25"/>
    </row>
    <row r="57" spans="2:11" s="24" customFormat="1" ht="18.75" x14ac:dyDescent="0.25">
      <c r="B57" s="41"/>
      <c r="C57" s="42"/>
      <c r="D57" s="50">
        <v>9343987600</v>
      </c>
      <c r="E57" s="36">
        <v>44</v>
      </c>
      <c r="F57" s="29">
        <v>405000</v>
      </c>
      <c r="G57" s="40">
        <f>(Tabella1[[#This Row],[IMPORTO complessivo presunto]])*2%</f>
        <v>8100</v>
      </c>
      <c r="H57" s="37" t="str">
        <f>IF($I$11&lt;1,Tabella1[[#This Row],[Garanzia Provvisoria Base (2% base d''asta)]]*$I$11,"")</f>
        <v/>
      </c>
      <c r="I57" s="28">
        <f>IF(AND(Tabella1[[#This Row],[IMPORTO complessivo presunto]]&lt;&gt;"",Tabella1[[#This Row],[IMPORTO complessivo presunto]]&gt;0),LOOKUP(Tabella1[[#This Row],[IMPORTO complessivo presunto]],Foglio1!$C$4:$D$13),0)</f>
        <v>35</v>
      </c>
      <c r="J57" s="32"/>
      <c r="K57" s="25"/>
    </row>
    <row r="58" spans="2:11" s="24" customFormat="1" ht="18.75" x14ac:dyDescent="0.25">
      <c r="B58" s="41"/>
      <c r="C58" s="42"/>
      <c r="D58" s="50">
        <v>9344004408</v>
      </c>
      <c r="E58" s="36">
        <v>45</v>
      </c>
      <c r="F58" s="29">
        <v>405000</v>
      </c>
      <c r="G58" s="40">
        <f>(Tabella1[[#This Row],[IMPORTO complessivo presunto]])*2%</f>
        <v>8100</v>
      </c>
      <c r="H58" s="37" t="str">
        <f>IF($I$11&lt;1,Tabella1[[#This Row],[Garanzia Provvisoria Base (2% base d''asta)]]*$I$11,"")</f>
        <v/>
      </c>
      <c r="I58" s="28">
        <f>IF(AND(Tabella1[[#This Row],[IMPORTO complessivo presunto]]&lt;&gt;"",Tabella1[[#This Row],[IMPORTO complessivo presunto]]&gt;0),LOOKUP(Tabella1[[#This Row],[IMPORTO complessivo presunto]],Foglio1!$C$4:$D$13),0)</f>
        <v>35</v>
      </c>
      <c r="J58" s="32"/>
      <c r="K58" s="25"/>
    </row>
    <row r="59" spans="2:11" s="24" customFormat="1" ht="18.75" x14ac:dyDescent="0.25">
      <c r="B59" s="41"/>
      <c r="C59" s="42"/>
      <c r="D59" s="50" t="s">
        <v>66</v>
      </c>
      <c r="E59" s="36">
        <v>46</v>
      </c>
      <c r="F59" s="29">
        <v>202500</v>
      </c>
      <c r="G59" s="40">
        <f>(Tabella1[[#This Row],[IMPORTO complessivo presunto]])*2%</f>
        <v>4050</v>
      </c>
      <c r="H59" s="37" t="str">
        <f>IF($I$11&lt;1,Tabella1[[#This Row],[Garanzia Provvisoria Base (2% base d''asta)]]*$I$11,"")</f>
        <v/>
      </c>
      <c r="I59" s="28">
        <f>IF(AND(Tabella1[[#This Row],[IMPORTO complessivo presunto]]&lt;&gt;"",Tabella1[[#This Row],[IMPORTO complessivo presunto]]&gt;0),LOOKUP(Tabella1[[#This Row],[IMPORTO complessivo presunto]],Foglio1!$C$4:$D$13),0)</f>
        <v>20</v>
      </c>
      <c r="J59" s="32"/>
      <c r="K59" s="25"/>
    </row>
    <row r="60" spans="2:11" s="24" customFormat="1" ht="18.75" x14ac:dyDescent="0.25">
      <c r="B60" s="41"/>
      <c r="C60" s="42"/>
      <c r="D60" s="50">
        <v>9344048856</v>
      </c>
      <c r="E60" s="36">
        <v>47</v>
      </c>
      <c r="F60" s="29">
        <v>15750</v>
      </c>
      <c r="G60" s="40">
        <f>(Tabella1[[#This Row],[IMPORTO complessivo presunto]])*2%</f>
        <v>315</v>
      </c>
      <c r="H60" s="37" t="str">
        <f>IF($I$11&lt;1,Tabella1[[#This Row],[Garanzia Provvisoria Base (2% base d''asta)]]*$I$11,"")</f>
        <v/>
      </c>
      <c r="I60" s="28">
        <f>IF(AND(Tabella1[[#This Row],[IMPORTO complessivo presunto]]&lt;&gt;"",Tabella1[[#This Row],[IMPORTO complessivo presunto]]&gt;0),LOOKUP(Tabella1[[#This Row],[IMPORTO complessivo presunto]],Foglio1!$C$4:$D$13),0)</f>
        <v>0</v>
      </c>
      <c r="J60" s="32"/>
      <c r="K60" s="25"/>
    </row>
    <row r="61" spans="2:11" s="24" customFormat="1" ht="18.75" x14ac:dyDescent="0.25">
      <c r="B61" s="41"/>
      <c r="C61" s="42"/>
      <c r="D61" s="50">
        <v>9344117149</v>
      </c>
      <c r="E61" s="36">
        <v>48</v>
      </c>
      <c r="F61" s="29">
        <v>13500</v>
      </c>
      <c r="G61" s="40">
        <f>(Tabella1[[#This Row],[IMPORTO complessivo presunto]])*2%</f>
        <v>270</v>
      </c>
      <c r="H61" s="37" t="str">
        <f>IF($I$11&lt;1,Tabella1[[#This Row],[Garanzia Provvisoria Base (2% base d''asta)]]*$I$11,"")</f>
        <v/>
      </c>
      <c r="I61" s="28">
        <f>IF(AND(Tabella1[[#This Row],[IMPORTO complessivo presunto]]&lt;&gt;"",Tabella1[[#This Row],[IMPORTO complessivo presunto]]&gt;0),LOOKUP(Tabella1[[#This Row],[IMPORTO complessivo presunto]],Foglio1!$C$4:$D$13),0)</f>
        <v>0</v>
      </c>
      <c r="J61" s="32"/>
      <c r="K61" s="25"/>
    </row>
    <row r="62" spans="2:11" s="24" customFormat="1" ht="18.75" x14ac:dyDescent="0.25">
      <c r="B62" s="41"/>
      <c r="C62" s="42"/>
      <c r="D62" s="50" t="s">
        <v>67</v>
      </c>
      <c r="E62" s="36">
        <v>49</v>
      </c>
      <c r="F62" s="29">
        <v>4500</v>
      </c>
      <c r="G62" s="40">
        <f>(Tabella1[[#This Row],[IMPORTO complessivo presunto]])*2%</f>
        <v>90</v>
      </c>
      <c r="H62" s="37" t="str">
        <f>IF($I$11&lt;1,Tabella1[[#This Row],[Garanzia Provvisoria Base (2% base d''asta)]]*$I$11,"")</f>
        <v/>
      </c>
      <c r="I62" s="28">
        <f>IF(AND(Tabella1[[#This Row],[IMPORTO complessivo presunto]]&lt;&gt;"",Tabella1[[#This Row],[IMPORTO complessivo presunto]]&gt;0),LOOKUP(Tabella1[[#This Row],[IMPORTO complessivo presunto]],Foglio1!$C$4:$D$13),0)</f>
        <v>0</v>
      </c>
      <c r="J62" s="32"/>
      <c r="K62" s="25"/>
    </row>
    <row r="63" spans="2:11" s="24" customFormat="1" ht="18.75" x14ac:dyDescent="0.25">
      <c r="B63" s="41"/>
      <c r="C63" s="42"/>
      <c r="D63" s="50" t="s">
        <v>68</v>
      </c>
      <c r="E63" s="36">
        <v>50</v>
      </c>
      <c r="F63" s="29">
        <v>6750</v>
      </c>
      <c r="G63" s="40">
        <f>(Tabella1[[#This Row],[IMPORTO complessivo presunto]])*2%</f>
        <v>135</v>
      </c>
      <c r="H63" s="37" t="str">
        <f>IF($I$11&lt;1,Tabella1[[#This Row],[Garanzia Provvisoria Base (2% base d''asta)]]*$I$11,"")</f>
        <v/>
      </c>
      <c r="I63" s="28">
        <f>IF(AND(Tabella1[[#This Row],[IMPORTO complessivo presunto]]&lt;&gt;"",Tabella1[[#This Row],[IMPORTO complessivo presunto]]&gt;0),LOOKUP(Tabella1[[#This Row],[IMPORTO complessivo presunto]],Foglio1!$C$4:$D$13),0)</f>
        <v>0</v>
      </c>
      <c r="J63" s="32"/>
      <c r="K63" s="25"/>
    </row>
    <row r="64" spans="2:11" s="24" customFormat="1" ht="18.75" x14ac:dyDescent="0.25">
      <c r="B64" s="41"/>
      <c r="C64" s="42"/>
      <c r="D64" s="50">
        <v>9344139370</v>
      </c>
      <c r="E64" s="36">
        <v>51</v>
      </c>
      <c r="F64" s="29">
        <v>22500</v>
      </c>
      <c r="G64" s="40">
        <f>(Tabella1[[#This Row],[IMPORTO complessivo presunto]])*2%</f>
        <v>450</v>
      </c>
      <c r="H64" s="37" t="str">
        <f>IF($I$11&lt;1,Tabella1[[#This Row],[Garanzia Provvisoria Base (2% base d''asta)]]*$I$11,"")</f>
        <v/>
      </c>
      <c r="I64" s="28">
        <f>IF(AND(Tabella1[[#This Row],[IMPORTO complessivo presunto]]&lt;&gt;"",Tabella1[[#This Row],[IMPORTO complessivo presunto]]&gt;0),LOOKUP(Tabella1[[#This Row],[IMPORTO complessivo presunto]],Foglio1!$C$4:$D$13),0)</f>
        <v>0</v>
      </c>
      <c r="J64" s="32"/>
      <c r="K64" s="25"/>
    </row>
    <row r="65" spans="2:11" s="24" customFormat="1" ht="18.75" x14ac:dyDescent="0.25">
      <c r="B65" s="41"/>
      <c r="C65" s="42"/>
      <c r="D65" s="50">
        <v>9344145862</v>
      </c>
      <c r="E65" s="36">
        <v>52</v>
      </c>
      <c r="F65" s="29">
        <v>9000</v>
      </c>
      <c r="G65" s="40">
        <f>(Tabella1[[#This Row],[IMPORTO complessivo presunto]])*2%</f>
        <v>180</v>
      </c>
      <c r="H65" s="37" t="str">
        <f>IF($I$11&lt;1,Tabella1[[#This Row],[Garanzia Provvisoria Base (2% base d''asta)]]*$I$11,"")</f>
        <v/>
      </c>
      <c r="I65" s="28">
        <f>IF(AND(Tabella1[[#This Row],[IMPORTO complessivo presunto]]&lt;&gt;"",Tabella1[[#This Row],[IMPORTO complessivo presunto]]&gt;0),LOOKUP(Tabella1[[#This Row],[IMPORTO complessivo presunto]],Foglio1!$C$4:$D$13),0)</f>
        <v>0</v>
      </c>
      <c r="J65" s="32"/>
      <c r="K65" s="25"/>
    </row>
    <row r="66" spans="2:11" s="24" customFormat="1" ht="18.75" x14ac:dyDescent="0.25">
      <c r="B66" s="41"/>
      <c r="C66" s="42"/>
      <c r="D66" s="50" t="s">
        <v>69</v>
      </c>
      <c r="E66" s="36">
        <v>53</v>
      </c>
      <c r="F66" s="29">
        <v>4500</v>
      </c>
      <c r="G66" s="40">
        <f>(Tabella1[[#This Row],[IMPORTO complessivo presunto]])*2%</f>
        <v>90</v>
      </c>
      <c r="H66" s="37" t="str">
        <f>IF($I$11&lt;1,Tabella1[[#This Row],[Garanzia Provvisoria Base (2% base d''asta)]]*$I$11,"")</f>
        <v/>
      </c>
      <c r="I66" s="28">
        <f>IF(AND(Tabella1[[#This Row],[IMPORTO complessivo presunto]]&lt;&gt;"",Tabella1[[#This Row],[IMPORTO complessivo presunto]]&gt;0),LOOKUP(Tabella1[[#This Row],[IMPORTO complessivo presunto]],Foglio1!$C$4:$D$13),0)</f>
        <v>0</v>
      </c>
      <c r="J66" s="32"/>
      <c r="K66" s="25"/>
    </row>
    <row r="67" spans="2:11" s="24" customFormat="1" ht="18.75" x14ac:dyDescent="0.25">
      <c r="B67" s="41"/>
      <c r="C67" s="42"/>
      <c r="D67" s="50">
        <v>9344156178</v>
      </c>
      <c r="E67" s="36">
        <v>54</v>
      </c>
      <c r="F67" s="29">
        <v>135000</v>
      </c>
      <c r="G67" s="40">
        <f>(Tabella1[[#This Row],[IMPORTO complessivo presunto]])*2%</f>
        <v>2700</v>
      </c>
      <c r="H67" s="37" t="str">
        <f>IF($I$11&lt;1,Tabella1[[#This Row],[Garanzia Provvisoria Base (2% base d''asta)]]*$I$11,"")</f>
        <v/>
      </c>
      <c r="I67" s="28">
        <f>IF(AND(Tabella1[[#This Row],[IMPORTO complessivo presunto]]&lt;&gt;"",Tabella1[[#This Row],[IMPORTO complessivo presunto]]&gt;0),LOOKUP(Tabella1[[#This Row],[IMPORTO complessivo presunto]],Foglio1!$C$4:$D$13),0)</f>
        <v>0</v>
      </c>
      <c r="J67" s="32"/>
      <c r="K67" s="25"/>
    </row>
    <row r="68" spans="2:11" s="24" customFormat="1" ht="18.75" x14ac:dyDescent="0.25">
      <c r="B68" s="41"/>
      <c r="C68" s="42"/>
      <c r="D68" s="44"/>
      <c r="E68" s="36"/>
      <c r="F68" s="29"/>
      <c r="G68" s="40"/>
      <c r="H68" s="37"/>
      <c r="I68" s="28"/>
      <c r="J68" s="32"/>
      <c r="K68" s="25"/>
    </row>
    <row r="69" spans="2:11" s="24" customFormat="1" ht="18.75" x14ac:dyDescent="0.25">
      <c r="B69" s="41"/>
      <c r="C69" s="42"/>
      <c r="D69" s="49"/>
      <c r="E69" s="36"/>
      <c r="F69" s="29"/>
      <c r="G69" s="40"/>
      <c r="H69" s="37"/>
      <c r="I69" s="28"/>
      <c r="J69" s="32"/>
      <c r="K69" s="25"/>
    </row>
    <row r="70" spans="2:11" s="24" customFormat="1" ht="18.75" x14ac:dyDescent="0.25">
      <c r="B70" s="41"/>
      <c r="C70" s="42"/>
      <c r="D70" s="44"/>
      <c r="E70" s="36"/>
      <c r="F70" s="29"/>
      <c r="G70" s="40"/>
      <c r="H70" s="37"/>
      <c r="I70" s="28"/>
      <c r="J70" s="32"/>
      <c r="K70" s="25"/>
    </row>
    <row r="71" spans="2:11" ht="16.5" thickBot="1" x14ac:dyDescent="0.3">
      <c r="B71" s="39"/>
      <c r="C71" s="38"/>
      <c r="D71" s="43" t="s">
        <v>15</v>
      </c>
      <c r="E71" s="45"/>
      <c r="F71" s="46">
        <f>SUBTOTAL(109,Tabella1[IMPORTO complessivo presunto])</f>
        <v>18550113.420000002</v>
      </c>
      <c r="G71" s="47">
        <f ca="1">SUMIF(B14:C70,"SI",Tabella1[Garanzia Provvisoria Base (2% base d''asta)])</f>
        <v>0</v>
      </c>
      <c r="H71" s="47">
        <f ca="1">SUMIF(B14:C70,"SI",Tabella1[Garanzia ridotta])</f>
        <v>0</v>
      </c>
      <c r="I71" s="48">
        <f ca="1">SUMIF(B14:C70,"SI",Tabella1[Importo Contributo CIG per O.E.])</f>
        <v>0</v>
      </c>
    </row>
    <row r="72" spans="2:11" x14ac:dyDescent="0.25">
      <c r="F72" s="26"/>
    </row>
    <row r="73" spans="2:11" x14ac:dyDescent="0.25">
      <c r="F73" s="26"/>
    </row>
    <row r="74" spans="2:11" x14ac:dyDescent="0.25">
      <c r="F74" s="27"/>
      <c r="G74" s="27"/>
    </row>
    <row r="75" spans="2:11" x14ac:dyDescent="0.25">
      <c r="F75" s="27"/>
    </row>
    <row r="76" spans="2:11" x14ac:dyDescent="0.25">
      <c r="F76" s="27"/>
    </row>
    <row r="78" spans="2:11" x14ac:dyDescent="0.25">
      <c r="F78" s="27"/>
    </row>
  </sheetData>
  <mergeCells count="5">
    <mergeCell ref="D3:J3"/>
    <mergeCell ref="E11:G11"/>
    <mergeCell ref="B4:B5"/>
    <mergeCell ref="B12:C12"/>
    <mergeCell ref="B13:C13"/>
  </mergeCells>
  <dataValidations count="2">
    <dataValidation type="list" allowBlank="1" showInputMessage="1" showErrorMessage="1" sqref="B14:B70" xr:uid="{00000000-0002-0000-0000-000000000000}">
      <formula1>"SI"</formula1>
    </dataValidation>
    <dataValidation type="list" allowBlank="1" showInputMessage="1" showErrorMessage="1" sqref="D5:J5" xr:uid="{00000000-0002-0000-0000-000001000000}">
      <formula1>"si,no"</formula1>
    </dataValidation>
  </dataValidations>
  <pageMargins left="0.19" right="0.17" top="0.59" bottom="0.68" header="0.31496062992125984" footer="0.31496062992125984"/>
  <pageSetup paperSize="9" scale="95" orientation="landscape" r:id="rId1"/>
  <headerFooter>
    <oddHeader>&amp;RALLEGATO A 4</oddHeader>
    <oddFooter>&amp;R&amp;"Garamond,Grassetto"&amp;12Pagina &amp;P di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3:F13"/>
  <sheetViews>
    <sheetView workbookViewId="0">
      <selection activeCell="C26" sqref="C26"/>
    </sheetView>
  </sheetViews>
  <sheetFormatPr defaultColWidth="45.140625" defaultRowHeight="15" x14ac:dyDescent="0.25"/>
  <cols>
    <col min="1" max="1" width="5.85546875" customWidth="1"/>
    <col min="3" max="3" width="15.140625" bestFit="1" customWidth="1"/>
    <col min="4" max="4" width="25.140625" bestFit="1" customWidth="1"/>
    <col min="5" max="6" width="23.5703125" bestFit="1" customWidth="1"/>
  </cols>
  <sheetData>
    <row r="3" spans="2:6" ht="34.5" customHeight="1" x14ac:dyDescent="0.25">
      <c r="B3" s="1" t="s">
        <v>1</v>
      </c>
      <c r="C3" s="1"/>
      <c r="D3" s="1" t="s">
        <v>3</v>
      </c>
      <c r="E3" s="1"/>
      <c r="F3" s="1" t="s">
        <v>2</v>
      </c>
    </row>
    <row r="4" spans="2:6" ht="34.5" customHeight="1" x14ac:dyDescent="0.25">
      <c r="B4" s="1"/>
      <c r="C4" s="1"/>
      <c r="D4" s="1">
        <v>0</v>
      </c>
      <c r="E4" s="1">
        <v>0</v>
      </c>
      <c r="F4" s="1">
        <v>0</v>
      </c>
    </row>
    <row r="5" spans="2:6" x14ac:dyDescent="0.25">
      <c r="B5" s="2" t="s">
        <v>4</v>
      </c>
      <c r="C5" s="4">
        <v>0</v>
      </c>
      <c r="D5" s="2">
        <v>0</v>
      </c>
      <c r="E5" s="4">
        <v>40000</v>
      </c>
      <c r="F5" s="2">
        <v>0</v>
      </c>
    </row>
    <row r="6" spans="2:6" ht="30" x14ac:dyDescent="0.25">
      <c r="B6" s="2" t="s">
        <v>5</v>
      </c>
      <c r="C6" s="4">
        <v>40000</v>
      </c>
      <c r="D6" s="2">
        <v>0</v>
      </c>
      <c r="E6" s="4">
        <v>150000</v>
      </c>
      <c r="F6" s="3">
        <v>30</v>
      </c>
    </row>
    <row r="7" spans="2:6" ht="30" x14ac:dyDescent="0.25">
      <c r="B7" s="2" t="s">
        <v>6</v>
      </c>
      <c r="C7" s="4">
        <v>150000</v>
      </c>
      <c r="D7" s="3">
        <v>20</v>
      </c>
      <c r="E7" s="4">
        <v>300000</v>
      </c>
      <c r="F7" s="3">
        <v>225</v>
      </c>
    </row>
    <row r="8" spans="2:6" ht="30" x14ac:dyDescent="0.25">
      <c r="B8" s="2" t="s">
        <v>7</v>
      </c>
      <c r="C8" s="4">
        <v>300000</v>
      </c>
      <c r="D8" s="3">
        <v>35</v>
      </c>
      <c r="E8" s="4">
        <v>500000</v>
      </c>
      <c r="F8" s="3">
        <v>225</v>
      </c>
    </row>
    <row r="9" spans="2:6" ht="30" x14ac:dyDescent="0.25">
      <c r="B9" s="2" t="s">
        <v>8</v>
      </c>
      <c r="C9" s="4">
        <v>500000</v>
      </c>
      <c r="D9" s="3">
        <v>70</v>
      </c>
      <c r="E9" s="4">
        <v>800000</v>
      </c>
      <c r="F9" s="3">
        <v>375</v>
      </c>
    </row>
    <row r="10" spans="2:6" ht="30" x14ac:dyDescent="0.25">
      <c r="B10" s="2" t="s">
        <v>9</v>
      </c>
      <c r="C10" s="4">
        <v>800000</v>
      </c>
      <c r="D10" s="3">
        <v>80</v>
      </c>
      <c r="E10" s="4">
        <v>1000000</v>
      </c>
      <c r="F10" s="3">
        <v>375</v>
      </c>
    </row>
    <row r="11" spans="2:6" x14ac:dyDescent="0.25">
      <c r="B11" s="2" t="s">
        <v>10</v>
      </c>
      <c r="C11" s="4">
        <v>1000000</v>
      </c>
      <c r="D11" s="3">
        <v>140</v>
      </c>
      <c r="E11" s="4">
        <v>5000000</v>
      </c>
      <c r="F11" s="3">
        <v>600</v>
      </c>
    </row>
    <row r="12" spans="2:6" x14ac:dyDescent="0.25">
      <c r="B12" s="2" t="s">
        <v>11</v>
      </c>
      <c r="C12" s="4">
        <v>5000000</v>
      </c>
      <c r="D12" s="3">
        <v>200</v>
      </c>
      <c r="E12" s="4">
        <v>20000000</v>
      </c>
      <c r="F12" s="3">
        <v>800</v>
      </c>
    </row>
    <row r="13" spans="2:6" x14ac:dyDescent="0.25">
      <c r="B13" s="2" t="s">
        <v>12</v>
      </c>
      <c r="C13" s="4">
        <v>20000000</v>
      </c>
      <c r="D13" s="3">
        <v>500</v>
      </c>
      <c r="E13" s="4">
        <v>999999999999999</v>
      </c>
      <c r="F13" s="3">
        <v>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lboOnLine" ma:contentTypeID="0x01010011B05CD1139B4F85A6A732020081EAD200DE4B68CD7691364994CECDEB9E38144D" ma:contentTypeVersion="4" ma:contentTypeDescription="My Content Type" ma:contentTypeScope="" ma:versionID="549bca0264cca5b3c6a8ebf6f1bf5437">
  <xsd:schema xmlns:xsd="http://www.w3.org/2001/XMLSchema" xmlns:xs="http://www.w3.org/2001/XMLSchema" xmlns:p="http://schemas.microsoft.com/office/2006/metadata/properties" xmlns:ns1="http://schemas.microsoft.com/sharepoint/v3" xmlns:ns2="671b7def-5d9a-4757-ab2c-159c2db87f1f" xmlns:ns3="http://schemas.microsoft.com/sharepoint/v3/fields" targetNamespace="http://schemas.microsoft.com/office/2006/metadata/properties" ma:root="true" ma:fieldsID="8e459bfee5bbe08054ba6818c2c7c3e0" ns1:_="" ns2:_="" ns3:_="">
    <xsd:import namespace="http://schemas.microsoft.com/sharepoint/v3"/>
    <xsd:import namespace="671b7def-5d9a-4757-ab2c-159c2db87f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ntentFile" minOccurs="0"/>
                <xsd:element ref="ns2:Data" minOccurs="0"/>
                <xsd:element ref="ns2:Descrizione" minOccurs="0"/>
                <xsd:element ref="ns3: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ntentFile" ma:index="8" nillable="true" ma:displayName="ContentFile" ma:hidden="true" ma:internalName="ContentFil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b7def-5d9a-4757-ab2c-159c2db87f1f" elementFormDefault="qualified">
    <xsd:import namespace="http://schemas.microsoft.com/office/2006/documentManagement/types"/>
    <xsd:import namespace="http://schemas.microsoft.com/office/infopath/2007/PartnerControls"/>
    <xsd:element name="Data" ma:index="9" nillable="true" ma:displayName="Data" ma:format="DateOnly" ma:indexed="true" ma:internalName="Data">
      <xsd:simpleType>
        <xsd:restriction base="dms:DateTime"/>
      </xsd:simpleType>
    </xsd:element>
    <xsd:element name="Descrizione" ma:index="10" nillable="true" ma:displayName="Descrizione" ma:description="" ma:internalName="Descrizion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Index" ma:index="11" nillable="true" ma:displayName="Index" ma:decimals="0" ma:description="" ma:hidden="true" ma:indexed="true" ma:internalName="Index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671b7def-5d9a-4757-ab2c-159c2db87f1f">2013-07-04T22:00:00+00:00</Data>
    <Index xmlns="http://schemas.microsoft.com/sharepoint/v3/fields">17</Index>
    <Descrizione xmlns="671b7def-5d9a-4757-ab2c-159c2db87f1f" xsi:nil="true"/>
    <ContentFil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8975B-376A-4817-B206-3C8AADED7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1b7def-5d9a-4757-ab2c-159c2db87f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EFFC8-9FA6-4971-ABAA-FAB0A9E6189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671b7def-5d9a-4757-ab2c-159c2db87f1f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455E96EA-8860-4F0B-B74F-746C2EB5D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Cauzioni e Contributo</vt:lpstr>
      <vt:lpstr>Foglio1</vt:lpstr>
      <vt:lpstr>'Cauzioni e Contributo'!Area_stampa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Iandolo Lazzaro</cp:lastModifiedBy>
  <cp:lastPrinted>2019-11-26T09:39:02Z</cp:lastPrinted>
  <dcterms:created xsi:type="dcterms:W3CDTF">2013-03-11T13:33:30Z</dcterms:created>
  <dcterms:modified xsi:type="dcterms:W3CDTF">2023-02-15T10:52:29Z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0x01010011B05CD1139B4F85A6A732020081EAD200DE4B68CD7691364994CECDEB9E38144D</vt:lpwstr>
  </property>
  <property fmtid="{D5CDD505-2E9C-101B-9397-08002B2CF9AE}" pid="3" name="Albo On Line Description">
    <vt:lpwstr/>
  </property>
  <property fmtid="{D5CDD505-2E9C-101B-9397-08002B2CF9AE}" pid="4" name="Order">
    <vt:r8>1025200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